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850" activeTab="0"/>
  </bookViews>
  <sheets>
    <sheet name="Hinweise" sheetId="1" r:id="rId1"/>
    <sheet name="Firmen-Anzeige" sheetId="2" r:id="rId2"/>
    <sheet name="Pop-up-Anzeige Prod" sheetId="3" r:id="rId3"/>
  </sheets>
  <definedNames/>
  <calcPr fullCalcOnLoad="1"/>
</workbook>
</file>

<file path=xl/sharedStrings.xml><?xml version="1.0" encoding="utf-8"?>
<sst xmlns="http://schemas.openxmlformats.org/spreadsheetml/2006/main" count="317" uniqueCount="164">
  <si>
    <t>Firmenname</t>
  </si>
  <si>
    <t>Mitarbeiter</t>
  </si>
  <si>
    <t>Strasse_HNr</t>
  </si>
  <si>
    <t>Postfach</t>
  </si>
  <si>
    <t>PLZ</t>
  </si>
  <si>
    <t>Ort</t>
  </si>
  <si>
    <t>Fax</t>
  </si>
  <si>
    <t>mailto</t>
  </si>
  <si>
    <t>URL</t>
  </si>
  <si>
    <t>Produkte und Leistungen</t>
  </si>
  <si>
    <t>Telefon</t>
  </si>
  <si>
    <t>Pos-Nr</t>
  </si>
  <si>
    <t>weiterer Text optional</t>
  </si>
  <si>
    <t>Pflichtfeld</t>
  </si>
  <si>
    <t>Zeichenzahl</t>
  </si>
  <si>
    <t>Eintrag-Inhalt</t>
  </si>
  <si>
    <t>Anmerkungen</t>
  </si>
  <si>
    <t>keine</t>
  </si>
  <si>
    <t>Bemerkungen &amp; Fragen</t>
  </si>
  <si>
    <t>Rechtsform</t>
  </si>
  <si>
    <t>Titel-Verlängerung oder Untertitel</t>
  </si>
  <si>
    <t>optional</t>
  </si>
  <si>
    <t>klein</t>
  </si>
  <si>
    <t>Mehrkosten lt. Preisliste</t>
  </si>
  <si>
    <t>ohne Logo</t>
  </si>
  <si>
    <t>Hilfsfelder</t>
  </si>
  <si>
    <t>Sie werden vor der Endfassung ggf. kontaktiert</t>
  </si>
  <si>
    <t>Hilffsfelder</t>
  </si>
  <si>
    <t>(1. URL/Link - Pos 11 - ist frei)</t>
  </si>
  <si>
    <t>1 weiteres externes Link - URL:</t>
  </si>
  <si>
    <t>EUR</t>
  </si>
  <si>
    <t>Monate</t>
  </si>
  <si>
    <t>Produkt-Pop-ups Anzahl</t>
  </si>
  <si>
    <t>Moderne-verwaltung.de</t>
  </si>
  <si>
    <t>aus techn Gründen max 255 Z im Feld</t>
  </si>
  <si>
    <t>max. Logo-Datei</t>
  </si>
  <si>
    <t>nein</t>
  </si>
  <si>
    <t>Logogröße: ohne/klein/groß</t>
  </si>
  <si>
    <t>Logo-Datei &gt; 2/4 Kbyte ja/nein</t>
  </si>
  <si>
    <t>Gewünschte Laufzeit Gesamt</t>
  </si>
  <si>
    <t>Laufzeit-Rabatte u.ä. s. Preisberechng Gesamtlaufzeit</t>
  </si>
  <si>
    <t>Monate max.</t>
  </si>
  <si>
    <t>Monate Mindestlaufzeit</t>
  </si>
  <si>
    <t>weitere Monate</t>
  </si>
  <si>
    <t>Überlänge Text</t>
  </si>
  <si>
    <t>Überlänge Stichwörter</t>
  </si>
  <si>
    <t>Übergröße Datei</t>
  </si>
  <si>
    <t>großes Logo</t>
  </si>
  <si>
    <t>kleines Logo</t>
  </si>
  <si>
    <t xml:space="preserve">Anzeigenpreis 2 Monate (Mindestlaufzeit) mit Mehrkosten, o. MWSt </t>
  </si>
  <si>
    <t>Produktlinks</t>
  </si>
  <si>
    <t>Externes Link</t>
  </si>
  <si>
    <t>MWSt</t>
  </si>
  <si>
    <t>Gesamt</t>
  </si>
  <si>
    <t>Restbetrag</t>
  </si>
  <si>
    <t>Preisberechnung für längere Laufzeit</t>
  </si>
  <si>
    <t>Angaben für die</t>
  </si>
  <si>
    <t>Auftragsabwicklung</t>
  </si>
  <si>
    <t>Zusatzkosten EURO o. MWSt</t>
  </si>
  <si>
    <t>Auftraggeber (Name)</t>
  </si>
  <si>
    <t>Abteilung</t>
  </si>
  <si>
    <t>Tel</t>
  </si>
  <si>
    <t>email</t>
  </si>
  <si>
    <t>Firmen-Anzeige</t>
  </si>
  <si>
    <t>Firma</t>
  </si>
  <si>
    <t>Rechnungsadresse</t>
  </si>
  <si>
    <t>mailto (Adresse)</t>
  </si>
  <si>
    <t>mailto (Text)</t>
  </si>
  <si>
    <t xml:space="preserve">Anzeigenpreis 4 Wochen (Mindestlaufzeit) mit Mehrkosten, o. MWSt </t>
  </si>
  <si>
    <t>Überlänge Zielgruppe/Stichwörter</t>
  </si>
  <si>
    <t>1 optional</t>
  </si>
  <si>
    <t>Kontakt-Telefon</t>
  </si>
  <si>
    <t>Kontakt-Adresse PLZ</t>
  </si>
  <si>
    <t>Kontakt-Adresse Ort</t>
  </si>
  <si>
    <t>Sitz der Firma</t>
  </si>
  <si>
    <t>Text direktes Link auf Produktseite extern</t>
  </si>
  <si>
    <t>Adresse direktes Link auf Produktseite extern</t>
  </si>
  <si>
    <t>Produktbeschreibung</t>
  </si>
  <si>
    <t>Beschreibung2</t>
  </si>
  <si>
    <t>Beschreibung3</t>
  </si>
  <si>
    <t>Logo wie Hauptanzeige</t>
  </si>
  <si>
    <t>Produktanzeige (pop-up) zu Firmen-Anzeige</t>
  </si>
  <si>
    <t>Kontakt-Adresse Str HNr</t>
  </si>
  <si>
    <t>Kontakt-Fax</t>
  </si>
  <si>
    <t>abweichendes Logo: nein</t>
  </si>
  <si>
    <t>Preise und Rabatte</t>
  </si>
  <si>
    <t>./. Vereinbarte Sonderrabatte</t>
  </si>
  <si>
    <t>Termin-Anzeige</t>
  </si>
  <si>
    <t>Stellenangebot</t>
  </si>
  <si>
    <t>sowie die</t>
  </si>
  <si>
    <t>Diese Datei enthält Vorlagen für Anzeigen auf der Webseite</t>
  </si>
  <si>
    <t>Mindestlaufzeit</t>
  </si>
  <si>
    <t>Wochen</t>
  </si>
  <si>
    <t>Hinweise</t>
  </si>
  <si>
    <t>Zu jedem Formular gibt es sofort eine Berechnung des Anzeigengrundpreises</t>
  </si>
  <si>
    <t>sowie des Preises für die von Ihnen vorgesehene Laufzeit</t>
  </si>
  <si>
    <t>Pflichtfeldern</t>
  </si>
  <si>
    <t>und optionalen Feldern</t>
  </si>
  <si>
    <t>Wenn zwei Zahlen angegeben sind, ist der erste Wert der ohne Zusatzkosten, der zweite der Maximalwert.</t>
  </si>
  <si>
    <t>mehr als 500 Z, zu lang!</t>
  </si>
  <si>
    <t>z.B. 350/650 Z; bei Überschreitung Warnhinweis:</t>
  </si>
  <si>
    <t>Die Kosten für die jeweilige Option sind angegeben.</t>
  </si>
  <si>
    <t>n</t>
  </si>
  <si>
    <t>Anzeigen-Preisliste mit detaillierten Angaben</t>
  </si>
  <si>
    <t>Der Betrag wird erst fällig nach Bestätigung der Orginal-Anzeige (Endfassung) durch den Auftraggeber</t>
  </si>
  <si>
    <t>Diese Felder ggf. überschreiben</t>
  </si>
  <si>
    <t>KD-Nr (wenn vorh)</t>
  </si>
  <si>
    <t>unbedingt ausfüllen!</t>
  </si>
  <si>
    <t xml:space="preserve">unbedingt ausfüllen! </t>
  </si>
  <si>
    <t>è</t>
  </si>
  <si>
    <t>î</t>
  </si>
  <si>
    <r>
      <t xml:space="preserve">Produktanzeige (pop-up) - </t>
    </r>
    <r>
      <rPr>
        <sz val="12"/>
        <rFont val="Arial"/>
        <family val="2"/>
      </rPr>
      <t>Nur in Verbindung mit Firmen-Anzeige oder Termin-Anzeige!</t>
    </r>
  </si>
  <si>
    <t xml:space="preserve"> Achtung! Jedes Pop-up in Fa-Anzeige eintragen! - Grundpreis dort - Hier nur Zusatzfeatures</t>
  </si>
  <si>
    <t>Alle Formular-Angaben und Formate © 2002 P. Schilling</t>
  </si>
  <si>
    <t xml:space="preserve"> © 2002 P. Schilling - Alle Formular-Angaben und Formate</t>
  </si>
  <si>
    <t>Datum einstellen</t>
  </si>
  <si>
    <t>Ende Anzeige/Laufzeit löschen</t>
  </si>
  <si>
    <t>max 255 Z im Feld</t>
  </si>
  <si>
    <t>sofort/TT.MM.JJ</t>
  </si>
  <si>
    <t>Wochen/TT.MM.JJ</t>
  </si>
  <si>
    <t>Monate/TT.MM.JJ</t>
  </si>
  <si>
    <t>Warnhinweis erscheint nicht bei allen Feldern - Angabe Zeichenzahl deshalb beachten!</t>
  </si>
  <si>
    <t>Versionsstand</t>
  </si>
  <si>
    <t>Logo-Dateiname (ggf.) (s. Anhang)</t>
  </si>
  <si>
    <t xml:space="preserve"> </t>
  </si>
  <si>
    <t>Monate (nur ganze Monate!)</t>
  </si>
  <si>
    <t>m</t>
  </si>
  <si>
    <t>(nur ganze)</t>
  </si>
  <si>
    <t>max. Laufzeit</t>
  </si>
  <si>
    <t>Linkpartner hier 20% eintragen</t>
  </si>
  <si>
    <t>zur Mindestlaufzeit weitere</t>
  </si>
  <si>
    <t>nur in Verbindung mit Firmenanzeige oder Terminanzeige!  Grundkosten für popup-Link werden dort berechnet und eingetragen; hier werden nur die Zusatzkosten für Optionen im popup berechnet.</t>
  </si>
  <si>
    <t>eintragen M(onate) oder W(ochen) abh. von Anzeigenart der Bezugsanzeige</t>
  </si>
  <si>
    <t>Titel der Anzeige (Produktname oder Überschrift)</t>
  </si>
  <si>
    <t>Text internes Link auf Firmenanzeige auf Seite</t>
  </si>
  <si>
    <t>Zu lang!</t>
  </si>
  <si>
    <t>Zielgruppen</t>
  </si>
  <si>
    <t>Stichwörter</t>
  </si>
  <si>
    <t>Firmenanzeigen: Monate - Rest: Wochen</t>
  </si>
  <si>
    <t xml:space="preserve"> Achtung! Jedes Pop-up in Haupt-Anzeige eintragen! - Grundpreis dort - Hier nur Zusatzfeatures</t>
  </si>
  <si>
    <t>Pos 15-17</t>
  </si>
  <si>
    <t>Pos 20-21</t>
  </si>
  <si>
    <t>Pos 12-13</t>
  </si>
  <si>
    <t>Text für Verweis in der Hauptanzeige</t>
  </si>
  <si>
    <t>aus Preisliste</t>
  </si>
  <si>
    <t>Stand Preisliste</t>
  </si>
  <si>
    <t>Stellensuche</t>
  </si>
  <si>
    <t>Die auszufüllenden Felder sind werden im Beitrag auf der Seite anders angeordnet. - s. jeweilige Seite mit Originalen und ggf. Muster</t>
  </si>
  <si>
    <t>Grüne Felder sind für Ihre Einträge vorgesehen.</t>
  </si>
  <si>
    <t>Die Kurzfasssung bzw. die Beiträge haben einen vorgegeben Aufbau mit</t>
  </si>
  <si>
    <t>Vorhandene Einträge in diese Felder sind Hinweise oder Vorschläge, die überschrieben werden können.</t>
  </si>
  <si>
    <t>Einzelheiten für Preise und Auftrag  - s. Seite Menue: Über die Seite - Nutzungsbedingungen</t>
  </si>
  <si>
    <t>Preisliste</t>
  </si>
  <si>
    <t>Stichwörter 140 Z max ohne, 180 mit  Mehrkosten</t>
  </si>
  <si>
    <t>weitere Laufzeit 10 Monate, Anzeige Typ kleines Logo</t>
  </si>
  <si>
    <t>Verlängerung min</t>
  </si>
  <si>
    <t>Monat</t>
  </si>
  <si>
    <t>Woche</t>
  </si>
  <si>
    <t>Folgende Anzeigenlaufzeiten sind möglich:</t>
  </si>
  <si>
    <t>Einige Felder oder Feldkombinationen sind nach Zeichenzahl begrenzt.</t>
  </si>
  <si>
    <t>350/500</t>
  </si>
  <si>
    <t>mehr als 350 Z, Mehrk!</t>
  </si>
  <si>
    <t>Bei vielen Felern wir die aktuelle Zeichenzahl angegeben</t>
  </si>
  <si>
    <t>Wenn Sie bereits eine Firmenanzeige haben, genüge die Angaben. Firmenname und Auftraggeber für diese Anzeige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</si>
</sst>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4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4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0"/>
      <name val="Wingdings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57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wrapText="1"/>
      <protection/>
    </xf>
    <xf numFmtId="2" fontId="0" fillId="3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0" fontId="0" fillId="4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4" borderId="0" xfId="0" applyFill="1" applyAlignment="1" applyProtection="1">
      <alignment vertical="top"/>
      <protection/>
    </xf>
    <xf numFmtId="0" fontId="5" fillId="4" borderId="0" xfId="0" applyFont="1" applyFill="1" applyAlignment="1" applyProtection="1">
      <alignment vertical="top" wrapText="1"/>
      <protection/>
    </xf>
    <xf numFmtId="2" fontId="4" fillId="3" borderId="0" xfId="0" applyNumberFormat="1" applyFont="1" applyFill="1" applyAlignment="1" applyProtection="1">
      <alignment vertical="top"/>
      <protection/>
    </xf>
    <xf numFmtId="2" fontId="0" fillId="4" borderId="0" xfId="0" applyNumberFormat="1" applyFill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1" fillId="3" borderId="0" xfId="0" applyNumberFormat="1" applyFont="1" applyFill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right" wrapText="1"/>
      <protection/>
    </xf>
    <xf numFmtId="2" fontId="8" fillId="3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0" fontId="12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/>
      <protection/>
    </xf>
    <xf numFmtId="2" fontId="11" fillId="0" borderId="0" xfId="0" applyNumberFormat="1" applyFont="1" applyFill="1" applyAlignment="1" applyProtection="1">
      <alignment/>
      <protection/>
    </xf>
    <xf numFmtId="2" fontId="0" fillId="3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Alignment="1" applyProtection="1">
      <alignment/>
      <protection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/>
    </xf>
    <xf numFmtId="0" fontId="13" fillId="0" borderId="0" xfId="0" applyFont="1" applyAlignment="1">
      <alignment wrapText="1"/>
    </xf>
    <xf numFmtId="2" fontId="7" fillId="5" borderId="0" xfId="0" applyFont="1" applyAlignment="1">
      <alignment wrapText="1"/>
    </xf>
    <xf numFmtId="0" fontId="13" fillId="3" borderId="0" xfId="0" applyFont="1" applyFill="1" applyAlignment="1" applyProtection="1">
      <alignment wrapText="1"/>
      <protection/>
    </xf>
    <xf numFmtId="0" fontId="3" fillId="0" borderId="0" xfId="0" applyFont="1" applyAlignment="1">
      <alignment wrapText="1"/>
    </xf>
    <xf numFmtId="2" fontId="14" fillId="5" borderId="0" xfId="0" applyFont="1" applyAlignment="1">
      <alignment wrapText="1"/>
    </xf>
    <xf numFmtId="0" fontId="13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5" fillId="6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/>
      <protection/>
    </xf>
    <xf numFmtId="0" fontId="15" fillId="3" borderId="6" xfId="0" applyFont="1" applyFill="1" applyBorder="1" applyAlignment="1" applyProtection="1">
      <alignment horizontal="right"/>
      <protection/>
    </xf>
    <xf numFmtId="0" fontId="16" fillId="3" borderId="7" xfId="0" applyFont="1" applyFill="1" applyBorder="1" applyAlignment="1" applyProtection="1">
      <alignment/>
      <protection/>
    </xf>
    <xf numFmtId="0" fontId="16" fillId="3" borderId="8" xfId="0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wrapText="1"/>
      <protection/>
    </xf>
    <xf numFmtId="0" fontId="0" fillId="2" borderId="10" xfId="0" applyFont="1" applyFill="1" applyBorder="1" applyAlignment="1" applyProtection="1">
      <alignment horizontal="center" wrapText="1"/>
      <protection/>
    </xf>
    <xf numFmtId="0" fontId="0" fillId="3" borderId="11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 horizontal="right"/>
      <protection/>
    </xf>
    <xf numFmtId="0" fontId="17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center"/>
      <protection/>
    </xf>
    <xf numFmtId="2" fontId="0" fillId="3" borderId="0" xfId="0" applyNumberFormat="1" applyFill="1" applyAlignment="1" applyProtection="1">
      <alignment horizontal="right"/>
      <protection/>
    </xf>
    <xf numFmtId="2" fontId="18" fillId="3" borderId="0" xfId="0" applyNumberFormat="1" applyFont="1" applyFill="1" applyAlignment="1" applyProtection="1">
      <alignment horizontal="right"/>
      <protection/>
    </xf>
    <xf numFmtId="2" fontId="18" fillId="3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14" fontId="0" fillId="3" borderId="0" xfId="0" applyNumberFormat="1" applyFill="1" applyAlignment="1" applyProtection="1">
      <alignment/>
      <protection/>
    </xf>
    <xf numFmtId="0" fontId="5" fillId="0" borderId="15" xfId="0" applyFont="1" applyBorder="1" applyAlignment="1" applyProtection="1">
      <alignment wrapText="1"/>
      <protection/>
    </xf>
    <xf numFmtId="0" fontId="20" fillId="3" borderId="0" xfId="0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Font="1" applyAlignment="1" applyProtection="1">
      <alignment horizontal="left"/>
      <protection/>
    </xf>
    <xf numFmtId="0" fontId="21" fillId="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9" fontId="19" fillId="2" borderId="1" xfId="18" applyFont="1" applyFill="1" applyBorder="1" applyAlignment="1" applyProtection="1">
      <alignment horizontal="center" wrapText="1"/>
      <protection locked="0"/>
    </xf>
    <xf numFmtId="9" fontId="3" fillId="2" borderId="1" xfId="18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horizontal="center" wrapText="1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3" fillId="2" borderId="5" xfId="0" applyFont="1" applyFill="1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14" fontId="23" fillId="3" borderId="9" xfId="0" applyNumberFormat="1" applyFont="1" applyFill="1" applyBorder="1" applyAlignment="1" applyProtection="1">
      <alignment/>
      <protection/>
    </xf>
    <xf numFmtId="14" fontId="0" fillId="7" borderId="0" xfId="0" applyNumberFormat="1" applyFill="1" applyAlignment="1" applyProtection="1">
      <alignment/>
      <protection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67.57421875" style="57" customWidth="1"/>
    <col min="2" max="2" width="12.140625" style="0" customWidth="1"/>
    <col min="4" max="4" width="6.421875" style="0" customWidth="1"/>
  </cols>
  <sheetData>
    <row r="1" spans="1:2" ht="15.75">
      <c r="A1" s="60" t="s">
        <v>90</v>
      </c>
      <c r="B1" s="90" t="s">
        <v>113</v>
      </c>
    </row>
    <row r="2" ht="15.75">
      <c r="A2" s="61" t="s">
        <v>33</v>
      </c>
    </row>
    <row r="3" spans="1:3" ht="14.25">
      <c r="A3" s="57" t="s">
        <v>89</v>
      </c>
      <c r="B3" s="91">
        <v>37576</v>
      </c>
      <c r="C3" s="8" t="s">
        <v>122</v>
      </c>
    </row>
    <row r="4" spans="1:3" ht="14.25">
      <c r="A4" s="58" t="s">
        <v>103</v>
      </c>
      <c r="B4" s="91">
        <v>37561</v>
      </c>
      <c r="C4" s="8" t="s">
        <v>152</v>
      </c>
    </row>
    <row r="6" spans="1:4" ht="14.25">
      <c r="A6" s="57" t="s">
        <v>158</v>
      </c>
      <c r="B6" t="s">
        <v>91</v>
      </c>
      <c r="D6" t="s">
        <v>155</v>
      </c>
    </row>
    <row r="7" spans="1:5" ht="14.25">
      <c r="A7" s="59" t="s">
        <v>63</v>
      </c>
      <c r="B7">
        <v>2</v>
      </c>
      <c r="C7" t="s">
        <v>31</v>
      </c>
      <c r="D7">
        <v>1</v>
      </c>
      <c r="E7" t="s">
        <v>156</v>
      </c>
    </row>
    <row r="8" spans="1:5" ht="14.25">
      <c r="A8" s="59" t="s">
        <v>81</v>
      </c>
      <c r="B8">
        <v>2</v>
      </c>
      <c r="C8" t="s">
        <v>31</v>
      </c>
      <c r="D8">
        <v>1</v>
      </c>
      <c r="E8" t="s">
        <v>156</v>
      </c>
    </row>
    <row r="9" spans="1:5" ht="14.25">
      <c r="A9" s="59" t="s">
        <v>87</v>
      </c>
      <c r="B9">
        <v>4</v>
      </c>
      <c r="C9" t="s">
        <v>92</v>
      </c>
      <c r="D9">
        <v>1</v>
      </c>
      <c r="E9" t="s">
        <v>157</v>
      </c>
    </row>
    <row r="10" spans="1:5" ht="14.25">
      <c r="A10" s="59" t="s">
        <v>88</v>
      </c>
      <c r="B10">
        <v>4</v>
      </c>
      <c r="C10" t="s">
        <v>92</v>
      </c>
      <c r="D10">
        <v>1</v>
      </c>
      <c r="E10" t="s">
        <v>157</v>
      </c>
    </row>
    <row r="11" spans="1:5" ht="14.25">
      <c r="A11" s="59" t="s">
        <v>146</v>
      </c>
      <c r="B11">
        <v>8</v>
      </c>
      <c r="C11" t="s">
        <v>92</v>
      </c>
      <c r="D11">
        <v>8</v>
      </c>
      <c r="E11" t="s">
        <v>92</v>
      </c>
    </row>
    <row r="13" ht="15.75">
      <c r="A13" s="60" t="s">
        <v>93</v>
      </c>
    </row>
    <row r="15" ht="28.5">
      <c r="A15" s="57" t="s">
        <v>94</v>
      </c>
    </row>
    <row r="16" spans="1:3" ht="18">
      <c r="A16" s="57" t="s">
        <v>95</v>
      </c>
      <c r="B16" s="6" t="s">
        <v>102</v>
      </c>
      <c r="C16" s="33" t="s">
        <v>31</v>
      </c>
    </row>
    <row r="17" spans="1:2" ht="28.5">
      <c r="A17" s="57" t="s">
        <v>151</v>
      </c>
      <c r="B17" s="17"/>
    </row>
    <row r="18" spans="1:3" ht="28.5">
      <c r="A18" s="57" t="s">
        <v>147</v>
      </c>
      <c r="B18" s="57"/>
      <c r="C18" s="57"/>
    </row>
    <row r="20" ht="14.25">
      <c r="A20" s="62" t="s">
        <v>148</v>
      </c>
    </row>
    <row r="21" ht="15" thickBot="1">
      <c r="A21" s="111" t="s">
        <v>149</v>
      </c>
    </row>
    <row r="22" spans="1:2" ht="15.75" thickBot="1" thickTop="1">
      <c r="A22" s="112" t="s">
        <v>96</v>
      </c>
      <c r="B22" s="64" t="s">
        <v>13</v>
      </c>
    </row>
    <row r="23" spans="1:2" ht="15" thickTop="1">
      <c r="A23" s="113" t="s">
        <v>97</v>
      </c>
      <c r="B23" s="17" t="s">
        <v>21</v>
      </c>
    </row>
    <row r="24" ht="28.5">
      <c r="A24" s="62" t="s">
        <v>150</v>
      </c>
    </row>
    <row r="25" spans="1:2" ht="14.25">
      <c r="A25" s="57" t="s">
        <v>162</v>
      </c>
      <c r="B25" s="21">
        <f>LEN(A25)</f>
        <v>56</v>
      </c>
    </row>
    <row r="26" ht="28.5">
      <c r="A26" s="57" t="s">
        <v>159</v>
      </c>
    </row>
    <row r="27" spans="1:2" ht="28.5">
      <c r="A27" s="57" t="s">
        <v>98</v>
      </c>
      <c r="B27" s="23" t="s">
        <v>160</v>
      </c>
    </row>
    <row r="28" spans="1:3" ht="38.25">
      <c r="A28" s="57" t="s">
        <v>100</v>
      </c>
      <c r="B28" s="26" t="s">
        <v>99</v>
      </c>
      <c r="C28" t="s">
        <v>121</v>
      </c>
    </row>
    <row r="29" spans="1:3" s="116" customFormat="1" ht="38.25">
      <c r="A29" s="57" t="s">
        <v>100</v>
      </c>
      <c r="B29" s="26" t="s">
        <v>161</v>
      </c>
      <c r="C29" t="s">
        <v>121</v>
      </c>
    </row>
    <row r="30" spans="1:2" ht="14.25">
      <c r="A30" s="57" t="s">
        <v>101</v>
      </c>
      <c r="B30" s="11">
        <v>1.6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B14" sqref="B14"/>
    </sheetView>
  </sheetViews>
  <sheetFormatPr defaultColWidth="11.421875" defaultRowHeight="12.75"/>
  <cols>
    <col min="1" max="1" width="3.8515625" style="13" customWidth="1"/>
    <col min="2" max="2" width="25.7109375" style="13" customWidth="1"/>
    <col min="3" max="3" width="45.7109375" style="14" customWidth="1"/>
    <col min="4" max="4" width="9.8515625" style="13" customWidth="1"/>
    <col min="5" max="5" width="10.28125" style="15" customWidth="1"/>
    <col min="6" max="6" width="8.28125" style="13" customWidth="1"/>
    <col min="7" max="7" width="16.140625" style="13" customWidth="1"/>
    <col min="8" max="8" width="29.421875" style="13" customWidth="1"/>
    <col min="9" max="9" width="11.421875" style="13" customWidth="1"/>
    <col min="10" max="18" width="0" style="13" hidden="1" customWidth="1"/>
    <col min="19" max="16384" width="11.421875" style="13" customWidth="1"/>
  </cols>
  <sheetData>
    <row r="1" spans="2:10" s="8" customFormat="1" ht="18.75" thickTop="1">
      <c r="B1" s="9" t="s">
        <v>63</v>
      </c>
      <c r="C1" s="10"/>
      <c r="E1" s="84" t="s">
        <v>108</v>
      </c>
      <c r="F1" s="85" t="s">
        <v>109</v>
      </c>
      <c r="G1" s="72" t="s">
        <v>56</v>
      </c>
      <c r="H1" s="74" t="s">
        <v>57</v>
      </c>
      <c r="I1" s="114">
        <v>37559</v>
      </c>
      <c r="J1" s="91" t="s">
        <v>122</v>
      </c>
    </row>
    <row r="2" spans="1:18" s="16" customFormat="1" ht="18.75" thickBot="1">
      <c r="A2" s="12" t="s">
        <v>11</v>
      </c>
      <c r="B2" s="90" t="s">
        <v>114</v>
      </c>
      <c r="C2" s="14" t="s">
        <v>15</v>
      </c>
      <c r="D2" s="13" t="s">
        <v>16</v>
      </c>
      <c r="E2" s="15" t="s">
        <v>58</v>
      </c>
      <c r="F2" s="13"/>
      <c r="G2" s="75" t="s">
        <v>59</v>
      </c>
      <c r="H2" s="107"/>
      <c r="I2" s="106">
        <f>Q13</f>
        <v>37561</v>
      </c>
      <c r="J2" s="106" t="s">
        <v>145</v>
      </c>
      <c r="K2" s="13"/>
      <c r="L2" s="13"/>
      <c r="M2" s="13"/>
      <c r="N2" s="13"/>
      <c r="O2" s="13"/>
      <c r="P2" s="13"/>
      <c r="Q2" s="13"/>
      <c r="R2" s="13"/>
    </row>
    <row r="3" spans="1:8" ht="18.75" thickTop="1">
      <c r="A3" s="13">
        <v>1</v>
      </c>
      <c r="B3" s="16" t="s">
        <v>0</v>
      </c>
      <c r="C3" s="63"/>
      <c r="D3" s="64" t="s">
        <v>13</v>
      </c>
      <c r="E3" s="15" t="s">
        <v>17</v>
      </c>
      <c r="F3" s="16"/>
      <c r="G3" s="75" t="s">
        <v>60</v>
      </c>
      <c r="H3" s="108"/>
    </row>
    <row r="4" spans="1:18" ht="38.25">
      <c r="A4" s="17">
        <v>2</v>
      </c>
      <c r="B4" s="17" t="s">
        <v>19</v>
      </c>
      <c r="C4" s="65" t="s">
        <v>163</v>
      </c>
      <c r="D4" s="64" t="s">
        <v>13</v>
      </c>
      <c r="E4" s="18" t="s">
        <v>17</v>
      </c>
      <c r="F4" s="17"/>
      <c r="G4" s="75" t="s">
        <v>61</v>
      </c>
      <c r="H4" s="107"/>
      <c r="J4" s="17"/>
      <c r="K4" s="17"/>
      <c r="L4" s="17"/>
      <c r="M4" s="17"/>
      <c r="N4" s="17"/>
      <c r="O4" s="17"/>
      <c r="P4" s="17"/>
      <c r="Q4" s="17"/>
      <c r="R4" s="17"/>
    </row>
    <row r="5" spans="1:18" ht="13.5" thickBot="1">
      <c r="A5" s="17">
        <v>3</v>
      </c>
      <c r="B5" s="17" t="s">
        <v>1</v>
      </c>
      <c r="C5" s="70"/>
      <c r="D5" s="64" t="s">
        <v>13</v>
      </c>
      <c r="E5" s="18" t="s">
        <v>17</v>
      </c>
      <c r="F5" s="17"/>
      <c r="G5" s="75" t="s">
        <v>62</v>
      </c>
      <c r="H5" s="107"/>
      <c r="J5" s="17"/>
      <c r="K5" s="17"/>
      <c r="L5" s="17"/>
      <c r="M5" s="17"/>
      <c r="N5" s="17"/>
      <c r="O5" s="17"/>
      <c r="P5" s="17"/>
      <c r="Q5" s="17"/>
      <c r="R5" s="17"/>
    </row>
    <row r="6" spans="1:18" ht="13.5" thickTop="1">
      <c r="A6" s="17">
        <v>4</v>
      </c>
      <c r="B6" s="17" t="s">
        <v>2</v>
      </c>
      <c r="C6" s="3"/>
      <c r="D6" s="17" t="s">
        <v>21</v>
      </c>
      <c r="E6" s="18" t="s">
        <v>17</v>
      </c>
      <c r="F6" s="17"/>
      <c r="G6" s="75" t="s">
        <v>65</v>
      </c>
      <c r="H6" s="78"/>
      <c r="J6" s="17"/>
      <c r="K6" s="17"/>
      <c r="L6" s="17"/>
      <c r="M6" s="17"/>
      <c r="N6" s="17"/>
      <c r="O6" s="17"/>
      <c r="P6" s="17"/>
      <c r="Q6" s="17"/>
      <c r="R6" s="17"/>
    </row>
    <row r="7" spans="1:18" ht="13.5" thickBot="1">
      <c r="A7" s="17">
        <v>5</v>
      </c>
      <c r="B7" s="17" t="s">
        <v>3</v>
      </c>
      <c r="C7" s="67"/>
      <c r="D7" s="17" t="s">
        <v>21</v>
      </c>
      <c r="E7" s="18" t="s">
        <v>17</v>
      </c>
      <c r="F7" s="17"/>
      <c r="G7" s="75" t="s">
        <v>64</v>
      </c>
      <c r="H7" s="109">
        <f>C3</f>
        <v>0</v>
      </c>
      <c r="J7" s="17"/>
      <c r="K7" s="17"/>
      <c r="L7" s="17"/>
      <c r="M7" s="17"/>
      <c r="N7" s="17"/>
      <c r="O7" s="17"/>
      <c r="P7" s="17"/>
      <c r="Q7" s="17"/>
      <c r="R7" s="17"/>
    </row>
    <row r="8" spans="1:18" ht="13.5" thickTop="1">
      <c r="A8" s="17">
        <v>6</v>
      </c>
      <c r="B8" s="17" t="s">
        <v>4</v>
      </c>
      <c r="C8" s="69"/>
      <c r="D8" s="64" t="s">
        <v>13</v>
      </c>
      <c r="E8" s="18" t="s">
        <v>17</v>
      </c>
      <c r="F8" s="17"/>
      <c r="G8" s="75" t="s">
        <v>2</v>
      </c>
      <c r="H8" s="109">
        <f>C6</f>
        <v>0</v>
      </c>
      <c r="J8" s="17"/>
      <c r="K8" s="17"/>
      <c r="L8" s="17"/>
      <c r="M8" s="17"/>
      <c r="N8" s="17"/>
      <c r="O8" s="17"/>
      <c r="P8" s="17"/>
      <c r="Q8" s="17"/>
      <c r="R8" s="17"/>
    </row>
    <row r="9" spans="1:18" ht="13.5" thickBot="1">
      <c r="A9" s="17">
        <v>7</v>
      </c>
      <c r="B9" s="17" t="s">
        <v>5</v>
      </c>
      <c r="C9" s="70"/>
      <c r="D9" s="64" t="s">
        <v>13</v>
      </c>
      <c r="E9" s="18" t="s">
        <v>17</v>
      </c>
      <c r="F9" s="17"/>
      <c r="G9" s="75" t="s">
        <v>4</v>
      </c>
      <c r="H9" s="107">
        <f>C8</f>
        <v>0</v>
      </c>
      <c r="J9" s="17"/>
      <c r="K9" s="17"/>
      <c r="L9" s="17"/>
      <c r="M9" s="17"/>
      <c r="N9" s="17"/>
      <c r="O9" s="17"/>
      <c r="P9" s="17"/>
      <c r="Q9" s="17"/>
      <c r="R9" s="17"/>
    </row>
    <row r="10" spans="1:18" ht="13.5" thickTop="1">
      <c r="A10" s="17">
        <v>8</v>
      </c>
      <c r="B10" s="17" t="s">
        <v>10</v>
      </c>
      <c r="C10" s="3"/>
      <c r="D10" s="17" t="s">
        <v>21</v>
      </c>
      <c r="E10" s="18" t="s">
        <v>17</v>
      </c>
      <c r="F10" s="17"/>
      <c r="G10" s="80" t="s">
        <v>5</v>
      </c>
      <c r="H10" s="107">
        <f>C9</f>
        <v>0</v>
      </c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2.75">
      <c r="A11" s="17">
        <v>9</v>
      </c>
      <c r="B11" s="17" t="s">
        <v>6</v>
      </c>
      <c r="C11" s="3"/>
      <c r="D11" s="17" t="s">
        <v>21</v>
      </c>
      <c r="E11" s="18" t="s">
        <v>17</v>
      </c>
      <c r="F11" s="17"/>
      <c r="G11" s="80" t="s">
        <v>106</v>
      </c>
      <c r="H11" s="109"/>
      <c r="J11" s="17"/>
      <c r="K11" s="17"/>
      <c r="L11" s="17"/>
      <c r="M11" s="17"/>
      <c r="N11" s="17"/>
      <c r="O11" s="17"/>
      <c r="P11" s="17"/>
      <c r="Q11" s="17"/>
      <c r="R11" s="17"/>
    </row>
    <row r="12" spans="1:9" s="19" customFormat="1" ht="12.75">
      <c r="A12" s="19">
        <v>10</v>
      </c>
      <c r="B12" s="19" t="s">
        <v>7</v>
      </c>
      <c r="C12" s="7"/>
      <c r="D12" s="19" t="s">
        <v>21</v>
      </c>
      <c r="E12" s="20" t="s">
        <v>17</v>
      </c>
      <c r="G12" s="80" t="s">
        <v>115</v>
      </c>
      <c r="H12" s="109" t="s">
        <v>118</v>
      </c>
      <c r="I12" s="13"/>
    </row>
    <row r="13" spans="1:18" ht="13.5" thickBot="1">
      <c r="A13" s="17">
        <v>11</v>
      </c>
      <c r="B13" s="17" t="s">
        <v>8</v>
      </c>
      <c r="C13" s="3"/>
      <c r="D13" s="17" t="s">
        <v>21</v>
      </c>
      <c r="E13" s="18" t="s">
        <v>17</v>
      </c>
      <c r="F13" s="21" t="s">
        <v>14</v>
      </c>
      <c r="G13" s="80" t="s">
        <v>116</v>
      </c>
      <c r="H13" s="109" t="s">
        <v>120</v>
      </c>
      <c r="J13" s="40"/>
      <c r="K13" s="40"/>
      <c r="L13" s="40"/>
      <c r="M13" s="40"/>
      <c r="N13" s="17"/>
      <c r="O13" s="17"/>
      <c r="P13" s="17"/>
      <c r="Q13" s="115">
        <v>37561</v>
      </c>
      <c r="R13" s="106" t="s">
        <v>144</v>
      </c>
    </row>
    <row r="14" spans="1:14" ht="52.5" thickBot="1" thickTop="1">
      <c r="A14" s="13">
        <v>12</v>
      </c>
      <c r="B14" s="13" t="s">
        <v>9</v>
      </c>
      <c r="C14" s="68"/>
      <c r="D14" s="64" t="s">
        <v>13</v>
      </c>
      <c r="E14" s="22" t="s">
        <v>34</v>
      </c>
      <c r="F14" s="23">
        <f>LEN(C14)</f>
        <v>0</v>
      </c>
      <c r="G14" s="81" t="s">
        <v>16</v>
      </c>
      <c r="H14" s="110" t="s">
        <v>105</v>
      </c>
      <c r="J14" s="43" t="str">
        <f>TEXT(H14,"0")</f>
        <v>Diese Felder ggf. überschreiben</v>
      </c>
      <c r="K14" s="43"/>
      <c r="L14" s="43" t="s">
        <v>27</v>
      </c>
      <c r="M14" s="43"/>
      <c r="N14" s="42"/>
    </row>
    <row r="15" spans="1:16" ht="26.25" thickTop="1">
      <c r="A15" s="13">
        <v>13</v>
      </c>
      <c r="B15" s="13" t="s">
        <v>12</v>
      </c>
      <c r="C15" s="2"/>
      <c r="D15" s="13" t="s">
        <v>21</v>
      </c>
      <c r="E15" s="22" t="s">
        <v>117</v>
      </c>
      <c r="F15" s="23">
        <f>LEN(C15)</f>
        <v>0</v>
      </c>
      <c r="G15" s="41" t="s">
        <v>25</v>
      </c>
      <c r="J15" s="43">
        <v>255</v>
      </c>
      <c r="K15" s="44">
        <f>IF(F15&gt;J15*1.1,"zu lang!","")</f>
      </c>
      <c r="L15" s="43" t="str">
        <f>TEXT(J15,"0")</f>
        <v>255</v>
      </c>
      <c r="M15" s="43"/>
      <c r="N15" s="43"/>
      <c r="O15" s="43"/>
      <c r="P15" s="42"/>
    </row>
    <row r="16" spans="2:18" ht="13.5" thickBot="1">
      <c r="B16" s="104" t="s">
        <v>142</v>
      </c>
      <c r="C16" s="92" t="str">
        <f>CONCATENATE(" zusammen max. ",J16,"/",K16," Z")</f>
        <v> zusammen max. 350/510 Z</v>
      </c>
      <c r="D16" s="24"/>
      <c r="E16" s="11" t="str">
        <f>IF(F16&lt;=J16,"keine",Q16)</f>
        <v>keine</v>
      </c>
      <c r="F16" s="25">
        <f>SUM(F14:F15)</f>
        <v>0</v>
      </c>
      <c r="G16" s="26">
        <f>IF(AND(F16&gt;J16,F16&lt;=K16),CONCATENATE("mehr als ",L16," Z: Mehrkosten"),N16)</f>
      </c>
      <c r="J16" s="45">
        <v>350</v>
      </c>
      <c r="K16" s="46">
        <v>510</v>
      </c>
      <c r="L16" s="47" t="str">
        <f>TEXT(J16,"0")</f>
        <v>350</v>
      </c>
      <c r="M16" s="43" t="str">
        <f>TEXT(K16,"0")</f>
        <v>510</v>
      </c>
      <c r="N16" s="44">
        <f>IF(F16&gt;K16,CONCATENATE("mehr als ",M16," Z, zu lang!"),"")</f>
      </c>
      <c r="P16" s="42"/>
      <c r="Q16" s="48">
        <v>1.6</v>
      </c>
      <c r="R16" s="13" t="s">
        <v>142</v>
      </c>
    </row>
    <row r="17" spans="1:18" ht="27" thickBot="1" thickTop="1">
      <c r="A17" s="13">
        <v>14</v>
      </c>
      <c r="B17" s="14" t="str">
        <f>CONCATENATE("Stichwörter ",L17," Z max ohne, ",M17," mit  Mehrkosten")</f>
        <v>Stichwörter 140 Z max ohne, 180 mit  Mehrkosten</v>
      </c>
      <c r="C17" s="68"/>
      <c r="D17" s="64" t="s">
        <v>13</v>
      </c>
      <c r="E17" s="11" t="str">
        <f>IF(F17&lt;=J17,"keine",Q17)</f>
        <v>keine</v>
      </c>
      <c r="F17" s="25">
        <f>LEN(C17)</f>
        <v>0</v>
      </c>
      <c r="G17" s="26">
        <f>IF(AND(F17&gt;J17,F17&lt;=K17),CONCATENATE("mehr als ",L17," Z Mehrkosten"),N17)</f>
      </c>
      <c r="J17" s="45">
        <v>140</v>
      </c>
      <c r="K17" s="46">
        <v>180</v>
      </c>
      <c r="L17" s="47" t="str">
        <f>TEXT(J17,"0")</f>
        <v>140</v>
      </c>
      <c r="M17" s="43" t="str">
        <f>TEXT(K17,"0")</f>
        <v>180</v>
      </c>
      <c r="N17" s="44">
        <f>IF(F17&gt;K17,CONCATENATE("mehr als ",M17," Z, zu lang!"),"")</f>
      </c>
      <c r="P17" s="42"/>
      <c r="Q17" s="48">
        <v>1.6</v>
      </c>
      <c r="R17" s="13" t="s">
        <v>153</v>
      </c>
    </row>
    <row r="18" spans="1:14" ht="15.75" thickTop="1">
      <c r="A18" s="13">
        <v>15</v>
      </c>
      <c r="B18" s="13" t="s">
        <v>37</v>
      </c>
      <c r="C18" s="54" t="s">
        <v>22</v>
      </c>
      <c r="E18" s="27">
        <f>IF(LEFT(C18,3)="ohn",Q23,L18)</f>
        <v>17</v>
      </c>
      <c r="F18" s="28">
        <f>Q23</f>
        <v>13</v>
      </c>
      <c r="G18" s="23" t="s">
        <v>24</v>
      </c>
      <c r="J18" s="43" t="str">
        <f>IF(Q23=E18,G18,L19)</f>
        <v>kleines Logo</v>
      </c>
      <c r="K18" s="47" t="s">
        <v>25</v>
      </c>
      <c r="L18" s="49">
        <f>IF(LEFT(C18,2)="gr",F20,F19)</f>
        <v>17</v>
      </c>
      <c r="M18" s="43" t="s">
        <v>35</v>
      </c>
      <c r="N18" s="44"/>
    </row>
    <row r="19" spans="1:18" ht="15">
      <c r="A19" s="13">
        <v>16</v>
      </c>
      <c r="B19" s="13" t="s">
        <v>38</v>
      </c>
      <c r="C19" s="55" t="s">
        <v>36</v>
      </c>
      <c r="E19" s="27" t="str">
        <f>IF(AND(LEFT(C19,1)="j",E18&gt;Q23),L20,"keine")</f>
        <v>keine</v>
      </c>
      <c r="F19" s="28">
        <f>Q24</f>
        <v>17</v>
      </c>
      <c r="G19" s="23" t="s">
        <v>48</v>
      </c>
      <c r="J19" s="43"/>
      <c r="K19" s="47"/>
      <c r="L19" s="50" t="str">
        <f>IF(LEFT(C18,2)="gr",G20,G19)</f>
        <v>kleines Logo</v>
      </c>
      <c r="N19" s="44"/>
      <c r="Q19" s="48">
        <v>1.6</v>
      </c>
      <c r="R19" s="13" t="s">
        <v>38</v>
      </c>
    </row>
    <row r="20" spans="1:18" ht="12.75">
      <c r="A20" s="13">
        <v>17</v>
      </c>
      <c r="B20" s="13" t="s">
        <v>123</v>
      </c>
      <c r="C20" s="54"/>
      <c r="E20" s="94"/>
      <c r="F20" s="28">
        <f>Q25</f>
        <v>24</v>
      </c>
      <c r="G20" s="23" t="s">
        <v>47</v>
      </c>
      <c r="J20" s="43"/>
      <c r="K20" s="43"/>
      <c r="L20" s="43">
        <f>IF(L19="groß",Q20,Q19)</f>
        <v>1.6</v>
      </c>
      <c r="N20" s="44"/>
      <c r="Q20" s="48">
        <v>2.8</v>
      </c>
      <c r="R20" s="13" t="s">
        <v>123</v>
      </c>
    </row>
    <row r="21" spans="1:18" ht="12.75">
      <c r="A21" s="13">
        <v>18</v>
      </c>
      <c r="B21" s="13" t="s">
        <v>32</v>
      </c>
      <c r="C21" s="5">
        <v>0</v>
      </c>
      <c r="D21" s="13" t="s">
        <v>21</v>
      </c>
      <c r="E21" s="11">
        <f>C21*Q21</f>
        <v>0</v>
      </c>
      <c r="F21" s="13" t="s">
        <v>23</v>
      </c>
      <c r="K21" s="43"/>
      <c r="L21" s="43"/>
      <c r="M21" s="43"/>
      <c r="N21" s="43"/>
      <c r="O21" s="43"/>
      <c r="P21" s="42"/>
      <c r="Q21" s="51">
        <v>4.6</v>
      </c>
      <c r="R21" s="13" t="s">
        <v>32</v>
      </c>
    </row>
    <row r="22" spans="1:18" ht="12.75">
      <c r="A22" s="13">
        <v>19</v>
      </c>
      <c r="B22" s="13" t="s">
        <v>29</v>
      </c>
      <c r="C22" s="5">
        <v>0</v>
      </c>
      <c r="D22" s="13" t="s">
        <v>70</v>
      </c>
      <c r="E22" s="11">
        <f>IF(C22&gt;1,"nur 1 Link!",C22*Q22)</f>
        <v>0</v>
      </c>
      <c r="F22" s="13" t="s">
        <v>23</v>
      </c>
      <c r="K22" s="43"/>
      <c r="L22" s="43"/>
      <c r="M22" s="43"/>
      <c r="N22" s="43"/>
      <c r="O22" s="43"/>
      <c r="P22" s="42"/>
      <c r="Q22" s="51">
        <v>10</v>
      </c>
      <c r="R22" s="13" t="s">
        <v>29</v>
      </c>
    </row>
    <row r="23" spans="2:18" ht="18">
      <c r="B23" s="13" t="s">
        <v>28</v>
      </c>
      <c r="C23" s="13"/>
      <c r="E23" s="30">
        <f>SUM(E3:E22)</f>
        <v>17</v>
      </c>
      <c r="F23" s="16" t="s">
        <v>30</v>
      </c>
      <c r="Q23" s="28">
        <v>13</v>
      </c>
      <c r="R23" s="43" t="s">
        <v>24</v>
      </c>
    </row>
    <row r="24" spans="3:18" ht="18">
      <c r="C24" s="13"/>
      <c r="E24" s="29" t="s">
        <v>49</v>
      </c>
      <c r="F24" s="16" t="str">
        <f>J18</f>
        <v>kleines Logo</v>
      </c>
      <c r="Q24" s="28">
        <v>17</v>
      </c>
      <c r="R24" s="43" t="s">
        <v>48</v>
      </c>
    </row>
    <row r="25" spans="3:18" ht="12.75">
      <c r="C25" s="13"/>
      <c r="D25" s="31" t="s">
        <v>40</v>
      </c>
      <c r="Q25" s="28">
        <v>24</v>
      </c>
      <c r="R25" s="43" t="s">
        <v>47</v>
      </c>
    </row>
    <row r="26" spans="2:4" ht="12.75">
      <c r="B26" s="13" t="s">
        <v>18</v>
      </c>
      <c r="C26" s="4" t="s">
        <v>124</v>
      </c>
      <c r="D26" s="13" t="s">
        <v>26</v>
      </c>
    </row>
    <row r="27" ht="12.75">
      <c r="C27" s="4" t="s">
        <v>124</v>
      </c>
    </row>
    <row r="28" spans="3:6" s="8" customFormat="1" ht="18">
      <c r="C28" s="10"/>
      <c r="D28" s="32" t="s">
        <v>55</v>
      </c>
      <c r="E28" s="95">
        <v>37257</v>
      </c>
      <c r="F28" s="95">
        <v>37621</v>
      </c>
    </row>
    <row r="29" spans="2:6" ht="18">
      <c r="B29" s="14"/>
      <c r="D29" s="29" t="s">
        <v>39</v>
      </c>
      <c r="E29" s="93">
        <f>ROUND((F28-E28)/30.5+0.5,0)</f>
        <v>12</v>
      </c>
      <c r="F29" s="33" t="s">
        <v>125</v>
      </c>
    </row>
    <row r="30" spans="2:5" ht="12.75">
      <c r="B30" s="31" t="s">
        <v>41</v>
      </c>
      <c r="D30" s="15">
        <v>12</v>
      </c>
      <c r="E30" s="53">
        <f>IF(E29&gt;D30,"Maximale Laufzeit überschritten!","")</f>
      </c>
    </row>
    <row r="31" spans="2:5" ht="12.75">
      <c r="B31" s="31" t="s">
        <v>42</v>
      </c>
      <c r="D31" s="15">
        <v>2</v>
      </c>
      <c r="E31" s="53">
        <f>IF(E30&lt;D31,"Minimale Laufzeit unterschritten! Nur Kurzläufer 2 Wochen möglich","")</f>
      </c>
    </row>
    <row r="32" spans="4:5" ht="12.75">
      <c r="D32" s="31" t="s">
        <v>43</v>
      </c>
      <c r="E32" s="15">
        <f>E29-D31</f>
        <v>10</v>
      </c>
    </row>
    <row r="34" spans="4:18" ht="12.75">
      <c r="D34" s="31" t="str">
        <f>CONCATENATE("weitere Laufzeit ",E32," Monate, Anzeige Typ ",F24)</f>
        <v>weitere Laufzeit 10 Monate, Anzeige Typ kleines Logo</v>
      </c>
      <c r="E34" s="15">
        <f>F34*$E$32</f>
        <v>35</v>
      </c>
      <c r="F34" s="43">
        <f>IF($E$18=Q23,Q34,H34)</f>
        <v>3.5</v>
      </c>
      <c r="H34" s="43">
        <f>IF(F35&gt;0,Q35,Q36)</f>
        <v>3.5</v>
      </c>
      <c r="Q34" s="48">
        <v>3</v>
      </c>
      <c r="R34" s="13" t="s">
        <v>154</v>
      </c>
    </row>
    <row r="35" spans="3:18" ht="12.75">
      <c r="C35" s="31" t="s">
        <v>44</v>
      </c>
      <c r="D35" s="15">
        <f>IF(E16="keine",0,E16/$D$31)</f>
        <v>0</v>
      </c>
      <c r="E35" s="15">
        <f>D35*$E$32</f>
        <v>0</v>
      </c>
      <c r="F35" s="43">
        <f>IF($E$18=F19,Q35,H35)</f>
        <v>3.5</v>
      </c>
      <c r="H35" s="43"/>
      <c r="Q35" s="48">
        <v>3.5</v>
      </c>
      <c r="R35" s="13" t="s">
        <v>44</v>
      </c>
    </row>
    <row r="36" spans="3:18" ht="12.75">
      <c r="C36" s="31" t="s">
        <v>45</v>
      </c>
      <c r="D36" s="15">
        <f>IF(E17="keine",0,E17/$D$31)</f>
        <v>0</v>
      </c>
      <c r="E36" s="15">
        <f>D36*$E$32</f>
        <v>0</v>
      </c>
      <c r="F36" s="43">
        <f>IF($E$18=F20,Q36,H36)</f>
        <v>0</v>
      </c>
      <c r="H36" s="43"/>
      <c r="Q36" s="48">
        <v>4</v>
      </c>
      <c r="R36" s="13" t="s">
        <v>45</v>
      </c>
    </row>
    <row r="37" spans="3:5" ht="12.75">
      <c r="C37" s="31" t="s">
        <v>46</v>
      </c>
      <c r="D37" s="15">
        <f>IF(E19="keine",0,E19/$D$31)</f>
        <v>0</v>
      </c>
      <c r="E37" s="15">
        <f>D37*$E$32</f>
        <v>0</v>
      </c>
    </row>
    <row r="38" spans="3:5" ht="12.75">
      <c r="C38" s="34" t="s">
        <v>50</v>
      </c>
      <c r="D38" s="15">
        <f>IF(E21=0,0,E21/$D$31)</f>
        <v>0</v>
      </c>
      <c r="E38" s="15">
        <f>D38*$E$32</f>
        <v>0</v>
      </c>
    </row>
    <row r="39" spans="3:5" ht="12.75">
      <c r="C39" s="34" t="s">
        <v>51</v>
      </c>
      <c r="D39" s="15">
        <f>IF(E22=0,0,E22/$D$31)</f>
        <v>0</v>
      </c>
      <c r="E39" s="15">
        <f>D39*$E$32</f>
        <v>0</v>
      </c>
    </row>
    <row r="40" ht="12.75">
      <c r="D40" s="15"/>
    </row>
    <row r="42" spans="4:6" ht="18">
      <c r="D42" s="29" t="str">
        <f>CONCATENATE("Anzeigenpreis ",E29," Monate mit Mehrkosten, o. MWSt")</f>
        <v>Anzeigenpreis 12 Monate mit Mehrkosten, o. MWSt</v>
      </c>
      <c r="E42" s="35">
        <f>SUM(E34:E40,E23)</f>
        <v>52</v>
      </c>
      <c r="F42" s="35" t="str">
        <f>F23</f>
        <v>EUR</v>
      </c>
    </row>
    <row r="44" spans="4:6" ht="15.75">
      <c r="D44" s="36" t="s">
        <v>86</v>
      </c>
      <c r="E44" s="100">
        <v>0</v>
      </c>
      <c r="F44" s="37"/>
    </row>
    <row r="45" spans="4:5" ht="15.75">
      <c r="D45" s="36" t="s">
        <v>129</v>
      </c>
      <c r="E45" s="101"/>
    </row>
    <row r="46" spans="4:6" ht="18">
      <c r="D46" s="36" t="s">
        <v>54</v>
      </c>
      <c r="E46" s="38">
        <f>E42*(1-E44)*(1-E45)</f>
        <v>52</v>
      </c>
      <c r="F46" s="38" t="s">
        <v>30</v>
      </c>
    </row>
    <row r="47" spans="4:6" ht="12.75">
      <c r="D47" s="39">
        <v>0.16</v>
      </c>
      <c r="E47" s="15">
        <f>ROUND(E46*D47,2)</f>
        <v>8.32</v>
      </c>
      <c r="F47" s="13" t="s">
        <v>52</v>
      </c>
    </row>
    <row r="48" spans="4:6" ht="18">
      <c r="D48" s="36" t="s">
        <v>53</v>
      </c>
      <c r="E48" s="35">
        <f>E46+E47</f>
        <v>60.32</v>
      </c>
      <c r="F48" s="35" t="s">
        <v>30</v>
      </c>
    </row>
    <row r="49" ht="12.75">
      <c r="E49" s="56" t="s">
        <v>104</v>
      </c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B3" sqref="B3"/>
    </sheetView>
  </sheetViews>
  <sheetFormatPr defaultColWidth="11.421875" defaultRowHeight="12.75"/>
  <cols>
    <col min="1" max="1" width="3.8515625" style="13" customWidth="1"/>
    <col min="2" max="2" width="25.7109375" style="13" customWidth="1"/>
    <col min="3" max="3" width="45.7109375" style="14" customWidth="1"/>
    <col min="4" max="4" width="9.8515625" style="13" customWidth="1"/>
    <col min="5" max="5" width="11.421875" style="15" customWidth="1"/>
    <col min="6" max="6" width="11.00390625" style="13" customWidth="1"/>
    <col min="7" max="7" width="17.28125" style="13" customWidth="1"/>
    <col min="8" max="10" width="11.421875" style="13" customWidth="1"/>
    <col min="11" max="18" width="0" style="13" hidden="1" customWidth="1"/>
    <col min="19" max="16384" width="11.421875" style="13" customWidth="1"/>
  </cols>
  <sheetData>
    <row r="1" spans="2:11" s="8" customFormat="1" ht="18">
      <c r="B1" s="9" t="s">
        <v>111</v>
      </c>
      <c r="C1" s="10"/>
      <c r="E1" s="11"/>
      <c r="F1" s="85" t="s">
        <v>110</v>
      </c>
      <c r="G1" s="85" t="s">
        <v>110</v>
      </c>
      <c r="J1" s="91">
        <v>37559</v>
      </c>
      <c r="K1" s="8" t="s">
        <v>122</v>
      </c>
    </row>
    <row r="2" spans="1:18" s="16" customFormat="1" ht="18.75" thickBot="1">
      <c r="A2" s="12" t="s">
        <v>11</v>
      </c>
      <c r="B2" s="90" t="s">
        <v>114</v>
      </c>
      <c r="C2" s="14" t="s">
        <v>15</v>
      </c>
      <c r="D2" s="13" t="s">
        <v>16</v>
      </c>
      <c r="E2" s="15" t="s">
        <v>58</v>
      </c>
      <c r="F2" s="13"/>
      <c r="G2" s="8"/>
      <c r="H2" s="86" t="s">
        <v>107</v>
      </c>
      <c r="I2" s="8"/>
      <c r="J2" s="106">
        <f>P18</f>
        <v>37561</v>
      </c>
      <c r="K2" s="13" t="s">
        <v>145</v>
      </c>
      <c r="L2" s="13"/>
      <c r="M2" s="13"/>
      <c r="N2" s="13"/>
      <c r="O2" s="13"/>
      <c r="P2" s="13"/>
      <c r="Q2" s="13"/>
      <c r="R2" s="13"/>
    </row>
    <row r="3" spans="1:12" ht="18.75" thickTop="1">
      <c r="A3" s="13">
        <v>1</v>
      </c>
      <c r="B3" s="16" t="s">
        <v>0</v>
      </c>
      <c r="C3" s="63"/>
      <c r="D3" s="64" t="s">
        <v>13</v>
      </c>
      <c r="E3" s="15" t="s">
        <v>17</v>
      </c>
      <c r="F3" s="16"/>
      <c r="G3" s="72" t="s">
        <v>56</v>
      </c>
      <c r="H3" s="73" t="s">
        <v>57</v>
      </c>
      <c r="I3" s="74"/>
      <c r="L3" s="43" t="s">
        <v>27</v>
      </c>
    </row>
    <row r="4" spans="1:18" ht="12.75">
      <c r="A4" s="17">
        <v>2</v>
      </c>
      <c r="B4" t="s">
        <v>74</v>
      </c>
      <c r="C4" s="65"/>
      <c r="D4" s="64" t="s">
        <v>13</v>
      </c>
      <c r="E4" s="18" t="s">
        <v>17</v>
      </c>
      <c r="F4" s="17"/>
      <c r="G4" s="75" t="s">
        <v>59</v>
      </c>
      <c r="H4" s="3"/>
      <c r="I4" s="76"/>
      <c r="J4" s="17"/>
      <c r="K4" s="17"/>
      <c r="L4" s="17"/>
      <c r="M4" s="17"/>
      <c r="N4" s="17"/>
      <c r="O4" s="17"/>
      <c r="P4" s="17"/>
      <c r="Q4" s="17"/>
      <c r="R4" s="17"/>
    </row>
    <row r="5" spans="1:18" ht="16.5" thickBot="1">
      <c r="A5" s="17">
        <v>3</v>
      </c>
      <c r="B5" s="1" t="s">
        <v>133</v>
      </c>
      <c r="C5" s="66"/>
      <c r="D5" s="64" t="s">
        <v>13</v>
      </c>
      <c r="E5" s="22" t="str">
        <f>IF(F5&gt;L5,CONCATENATE("zu lang ",M5),M5)</f>
        <v>max 70 Z</v>
      </c>
      <c r="F5" s="23">
        <f>LEN(C5)</f>
        <v>0</v>
      </c>
      <c r="G5" s="75" t="s">
        <v>60</v>
      </c>
      <c r="H5" s="4"/>
      <c r="I5" s="77"/>
      <c r="J5" s="17"/>
      <c r="K5" s="17"/>
      <c r="L5" s="17">
        <v>70</v>
      </c>
      <c r="M5" s="22" t="str">
        <f>CONCATENATE("max ",L5," Z")</f>
        <v>max 70 Z</v>
      </c>
      <c r="N5" s="17"/>
      <c r="O5" s="17"/>
      <c r="P5" s="17"/>
      <c r="Q5" s="17"/>
      <c r="R5" s="17"/>
    </row>
    <row r="6" spans="1:18" ht="13.5" thickTop="1">
      <c r="A6" s="13">
        <v>4</v>
      </c>
      <c r="B6" t="s">
        <v>20</v>
      </c>
      <c r="C6" s="3"/>
      <c r="D6" s="17" t="s">
        <v>21</v>
      </c>
      <c r="E6" s="22" t="str">
        <f>IF(F6&gt;L6,CONCATENATE("zu lang ",M6),M6)</f>
        <v>max 100 Z</v>
      </c>
      <c r="F6" s="23">
        <f>LEN(C6)</f>
        <v>0</v>
      </c>
      <c r="G6" s="75" t="s">
        <v>61</v>
      </c>
      <c r="H6" s="3"/>
      <c r="I6" s="76"/>
      <c r="J6" s="22"/>
      <c r="K6" s="17"/>
      <c r="L6" s="17">
        <v>100</v>
      </c>
      <c r="M6" s="22" t="str">
        <f>CONCATENATE("max ",L6," Z")</f>
        <v>max 100 Z</v>
      </c>
      <c r="N6" s="17"/>
      <c r="O6" s="17"/>
      <c r="P6" s="17"/>
      <c r="Q6" s="17"/>
      <c r="R6" s="17"/>
    </row>
    <row r="7" spans="1:18" ht="12.75">
      <c r="A7" s="17">
        <v>5</v>
      </c>
      <c r="B7" t="s">
        <v>71</v>
      </c>
      <c r="C7" s="3"/>
      <c r="D7" s="17" t="s">
        <v>21</v>
      </c>
      <c r="E7" s="22" t="str">
        <f>IF(F7&gt;L7,CONCATENATE("zu lang ",M7),M7)</f>
        <v>max 20 Z</v>
      </c>
      <c r="F7" s="23">
        <f>LEN(C7)</f>
        <v>0</v>
      </c>
      <c r="G7" s="75" t="s">
        <v>62</v>
      </c>
      <c r="H7" s="3"/>
      <c r="I7" s="76"/>
      <c r="J7" s="17"/>
      <c r="K7" s="17"/>
      <c r="L7" s="17">
        <v>20</v>
      </c>
      <c r="M7" s="22" t="str">
        <f>CONCATENATE("max ",L7," Z")</f>
        <v>max 20 Z</v>
      </c>
      <c r="N7" s="17"/>
      <c r="O7" s="17"/>
      <c r="P7" s="17"/>
      <c r="Q7" s="17"/>
      <c r="R7" s="17"/>
    </row>
    <row r="8" spans="1:13" s="19" customFormat="1" ht="12.75">
      <c r="A8" s="17">
        <v>6</v>
      </c>
      <c r="B8" t="s">
        <v>83</v>
      </c>
      <c r="C8" s="7"/>
      <c r="D8" s="19" t="s">
        <v>21</v>
      </c>
      <c r="E8" s="22" t="str">
        <f>IF(F8&gt;L8,CONCATENATE("zu lang ",M8),M8)</f>
        <v>max 20 Z</v>
      </c>
      <c r="F8" s="23">
        <f>LEN(C8)</f>
        <v>0</v>
      </c>
      <c r="G8" s="75" t="s">
        <v>65</v>
      </c>
      <c r="H8" s="71"/>
      <c r="I8" s="78"/>
      <c r="L8" s="17">
        <v>20</v>
      </c>
      <c r="M8" s="22" t="str">
        <f>CONCATENATE("max ",L8," Z")</f>
        <v>max 20 Z</v>
      </c>
    </row>
    <row r="9" spans="1:18" ht="12.75">
      <c r="A9" s="13">
        <v>7</v>
      </c>
      <c r="B9" t="s">
        <v>82</v>
      </c>
      <c r="C9" s="3"/>
      <c r="D9" s="17" t="s">
        <v>21</v>
      </c>
      <c r="E9" s="18" t="s">
        <v>17</v>
      </c>
      <c r="F9" s="21" t="s">
        <v>14</v>
      </c>
      <c r="G9" s="75" t="s">
        <v>64</v>
      </c>
      <c r="H9" s="7">
        <f>C3</f>
        <v>0</v>
      </c>
      <c r="I9" s="79"/>
      <c r="J9" s="40"/>
      <c r="K9" s="40"/>
      <c r="L9" s="40"/>
      <c r="M9" s="40"/>
      <c r="N9" s="17"/>
      <c r="O9" s="17"/>
      <c r="P9" s="17"/>
      <c r="Q9" s="17"/>
      <c r="R9" s="17"/>
    </row>
    <row r="10" spans="1:18" ht="12.75">
      <c r="A10" s="17">
        <v>8</v>
      </c>
      <c r="B10" t="s">
        <v>72</v>
      </c>
      <c r="C10" s="3"/>
      <c r="D10" s="17" t="s">
        <v>21</v>
      </c>
      <c r="E10" s="18" t="s">
        <v>17</v>
      </c>
      <c r="F10" s="21"/>
      <c r="G10" s="75" t="s">
        <v>2</v>
      </c>
      <c r="H10" s="7"/>
      <c r="I10" s="79"/>
      <c r="J10" s="40"/>
      <c r="K10" s="40"/>
      <c r="L10" s="40"/>
      <c r="M10" s="40"/>
      <c r="N10" s="17"/>
      <c r="O10" s="17"/>
      <c r="P10" s="17"/>
      <c r="Q10" s="17"/>
      <c r="R10" s="17"/>
    </row>
    <row r="11" spans="1:18" ht="12.75">
      <c r="A11" s="17">
        <v>9</v>
      </c>
      <c r="B11" t="s">
        <v>73</v>
      </c>
      <c r="C11" s="3"/>
      <c r="D11" s="17" t="s">
        <v>21</v>
      </c>
      <c r="E11" s="18" t="s">
        <v>17</v>
      </c>
      <c r="F11" s="21"/>
      <c r="G11" s="75" t="s">
        <v>4</v>
      </c>
      <c r="H11" s="3"/>
      <c r="I11" s="76"/>
      <c r="J11" s="40"/>
      <c r="K11" s="40"/>
      <c r="L11" s="40"/>
      <c r="M11" s="40"/>
      <c r="N11" s="17"/>
      <c r="O11" s="17"/>
      <c r="P11" s="17"/>
      <c r="Q11" s="17"/>
      <c r="R11" s="17"/>
    </row>
    <row r="12" spans="1:18" ht="12.75">
      <c r="A12" s="13">
        <v>10</v>
      </c>
      <c r="B12" s="13" t="s">
        <v>75</v>
      </c>
      <c r="C12" s="3"/>
      <c r="D12" s="17" t="s">
        <v>21</v>
      </c>
      <c r="E12" s="18" t="s">
        <v>17</v>
      </c>
      <c r="F12" s="21"/>
      <c r="G12" s="80" t="s">
        <v>5</v>
      </c>
      <c r="H12" s="7">
        <f>C4</f>
        <v>0</v>
      </c>
      <c r="I12" s="76"/>
      <c r="J12" s="40"/>
      <c r="K12" s="40"/>
      <c r="L12" s="40"/>
      <c r="M12" s="40"/>
      <c r="N12" s="17"/>
      <c r="O12" s="17"/>
      <c r="P12" s="17"/>
      <c r="Q12" s="17"/>
      <c r="R12" s="17"/>
    </row>
    <row r="13" spans="1:18" ht="12.75">
      <c r="A13" s="17">
        <v>11</v>
      </c>
      <c r="B13" s="13" t="s">
        <v>76</v>
      </c>
      <c r="C13" s="7"/>
      <c r="D13" s="17" t="s">
        <v>21</v>
      </c>
      <c r="E13" s="18" t="s">
        <v>17</v>
      </c>
      <c r="F13" s="21"/>
      <c r="G13" s="80" t="s">
        <v>106</v>
      </c>
      <c r="H13" s="7"/>
      <c r="I13" s="79"/>
      <c r="J13" s="40"/>
      <c r="K13" s="40"/>
      <c r="L13" s="40"/>
      <c r="M13" s="40"/>
      <c r="N13" s="17"/>
      <c r="O13" s="17"/>
      <c r="P13" s="17"/>
      <c r="Q13" s="17"/>
      <c r="R13" s="17"/>
    </row>
    <row r="14" spans="1:18" ht="12.75">
      <c r="A14" s="17">
        <v>12</v>
      </c>
      <c r="B14" s="13" t="s">
        <v>67</v>
      </c>
      <c r="C14" s="3"/>
      <c r="D14" s="17" t="s">
        <v>21</v>
      </c>
      <c r="E14" s="22" t="str">
        <f>IF(F14&gt;L14,CONCATENATE("zu lang ",M14),M14)</f>
        <v>max 20 Z</v>
      </c>
      <c r="F14" s="23">
        <f>LEN(C14)</f>
        <v>0</v>
      </c>
      <c r="G14" s="80" t="s">
        <v>115</v>
      </c>
      <c r="H14" s="7" t="s">
        <v>118</v>
      </c>
      <c r="I14" s="79"/>
      <c r="J14" s="40"/>
      <c r="K14" s="40"/>
      <c r="L14" s="17">
        <v>20</v>
      </c>
      <c r="M14" s="22" t="str">
        <f>CONCATENATE("max ",L14," Z")</f>
        <v>max 20 Z</v>
      </c>
      <c r="N14" s="17"/>
      <c r="O14" s="17"/>
      <c r="P14" s="17"/>
      <c r="Q14" s="17"/>
      <c r="R14" s="17"/>
    </row>
    <row r="15" spans="1:18" ht="12.75">
      <c r="A15" s="13">
        <v>13</v>
      </c>
      <c r="B15" s="13" t="s">
        <v>66</v>
      </c>
      <c r="C15" s="3"/>
      <c r="D15" s="17" t="s">
        <v>21</v>
      </c>
      <c r="E15" s="18" t="s">
        <v>17</v>
      </c>
      <c r="F15" s="23"/>
      <c r="G15" s="80" t="s">
        <v>116</v>
      </c>
      <c r="H15" s="7" t="s">
        <v>119</v>
      </c>
      <c r="I15" s="79"/>
      <c r="J15" s="40"/>
      <c r="K15" s="40"/>
      <c r="L15" s="17"/>
      <c r="M15" s="22"/>
      <c r="N15" s="17"/>
      <c r="O15" s="17"/>
      <c r="P15" s="17"/>
      <c r="Q15" s="17"/>
      <c r="R15" s="17"/>
    </row>
    <row r="16" spans="1:18" ht="13.5" thickBot="1">
      <c r="A16" s="17">
        <v>14</v>
      </c>
      <c r="B16" s="13" t="s">
        <v>134</v>
      </c>
      <c r="C16" s="3"/>
      <c r="D16" s="17" t="s">
        <v>21</v>
      </c>
      <c r="E16" s="22" t="str">
        <f>IF(F16&gt;L16,CONCATENATE("zu lang ",M16),M16)</f>
        <v>max 15 Z</v>
      </c>
      <c r="F16" s="23">
        <f>LEN(C16)</f>
        <v>0</v>
      </c>
      <c r="G16" s="81" t="s">
        <v>16</v>
      </c>
      <c r="H16" s="82" t="s">
        <v>105</v>
      </c>
      <c r="I16" s="83"/>
      <c r="J16" s="40"/>
      <c r="K16" s="40" t="s">
        <v>135</v>
      </c>
      <c r="L16" s="17">
        <v>15</v>
      </c>
      <c r="M16" s="22" t="str">
        <f>CONCATENATE("max ",L16," Z")</f>
        <v>max 15 Z</v>
      </c>
      <c r="N16" s="17"/>
      <c r="O16" s="17"/>
      <c r="P16" s="17"/>
      <c r="Q16" s="17"/>
      <c r="R16" s="17"/>
    </row>
    <row r="17" spans="1:14" ht="52.5" thickBot="1" thickTop="1">
      <c r="A17" s="17">
        <v>15</v>
      </c>
      <c r="B17" t="s">
        <v>77</v>
      </c>
      <c r="C17" s="68"/>
      <c r="D17" s="64" t="s">
        <v>13</v>
      </c>
      <c r="E17" s="22" t="str">
        <f>IF(F17&lt;=H17,K17,CONCATENATE($K$16," ",K17))</f>
        <v>aus techn Gründen max. 255 Z im Feld</v>
      </c>
      <c r="F17" s="23">
        <f>LEN(C17)</f>
        <v>0</v>
      </c>
      <c r="G17" s="41" t="s">
        <v>25</v>
      </c>
      <c r="H17" s="43">
        <v>255</v>
      </c>
      <c r="I17" s="44">
        <f>IF(F17&gt;H17*1.1,"zu lang!","")</f>
      </c>
      <c r="J17" s="43" t="str">
        <f aca="true" t="shared" si="0" ref="J17:J25">TEXT(H17,"0")</f>
        <v>255</v>
      </c>
      <c r="K17" s="43" t="str">
        <f>CONCATENATE("aus techn Gründen max. ",H17," Z im Feld")</f>
        <v>aus techn Gründen max. 255 Z im Feld</v>
      </c>
      <c r="L17" s="43" t="s">
        <v>27</v>
      </c>
      <c r="M17" s="43"/>
      <c r="N17" s="42"/>
    </row>
    <row r="18" spans="1:17" ht="51.75" thickTop="1">
      <c r="A18" s="17">
        <v>16</v>
      </c>
      <c r="B18" t="s">
        <v>78</v>
      </c>
      <c r="C18" s="2" t="s">
        <v>124</v>
      </c>
      <c r="D18" s="17" t="s">
        <v>21</v>
      </c>
      <c r="E18" s="22" t="str">
        <f>IF(F18&lt;=H18,K18,CONCATENATE($K$16," ",K18))</f>
        <v>aus techn Gründen max. 255 Z im Feld</v>
      </c>
      <c r="F18" s="23">
        <f>LEN(C18)</f>
        <v>1</v>
      </c>
      <c r="G18" s="17"/>
      <c r="H18" s="43">
        <v>255</v>
      </c>
      <c r="I18" s="44">
        <f>IF(F18&gt;H18*1.1,"zu lang!","")</f>
      </c>
      <c r="J18" s="43" t="str">
        <f t="shared" si="0"/>
        <v>255</v>
      </c>
      <c r="K18" s="43" t="str">
        <f>CONCATENATE("aus techn Gründen max. ",H18," Z im Feld")</f>
        <v>aus techn Gründen max. 255 Z im Feld</v>
      </c>
      <c r="L18" s="43"/>
      <c r="M18" s="43"/>
      <c r="N18" s="42"/>
      <c r="P18" s="115">
        <v>37561</v>
      </c>
      <c r="Q18" s="13" t="s">
        <v>144</v>
      </c>
    </row>
    <row r="19" spans="1:14" ht="25.5">
      <c r="A19" s="17">
        <v>17</v>
      </c>
      <c r="B19" t="s">
        <v>79</v>
      </c>
      <c r="C19" s="2"/>
      <c r="D19" s="17" t="s">
        <v>21</v>
      </c>
      <c r="E19" s="22" t="str">
        <f>IF(F19&lt;=H19,K19,CONCATENATE($K$16," ",K19))</f>
        <v>max. 150 Z im Feld</v>
      </c>
      <c r="F19" s="23">
        <f>LEN(C19)</f>
        <v>0</v>
      </c>
      <c r="G19" s="17"/>
      <c r="H19" s="43">
        <v>150</v>
      </c>
      <c r="I19" s="44">
        <f>IF(F19&gt;H19*1.1,"zu lang!","")</f>
      </c>
      <c r="J19" s="43" t="str">
        <f>TEXT(H19,"0")</f>
        <v>150</v>
      </c>
      <c r="K19" s="43" t="str">
        <f>CONCATENATE("max. ",H19," Z im Feld")</f>
        <v>max. 150 Z im Feld</v>
      </c>
      <c r="L19" s="43"/>
      <c r="M19" s="43"/>
      <c r="N19" s="42"/>
    </row>
    <row r="20" spans="1:17" ht="13.5" thickBot="1">
      <c r="A20" s="17"/>
      <c r="B20" s="104" t="s">
        <v>140</v>
      </c>
      <c r="C20" s="92" t="str">
        <f>CONCATENATE(" zusammen max. ",H20,"/",I20," Z")</f>
        <v> zusammen max. 420/650 Z</v>
      </c>
      <c r="D20" s="17"/>
      <c r="E20" s="11" t="str">
        <f>IF(F20&lt;=H20,"keine",P20)</f>
        <v>keine</v>
      </c>
      <c r="F20" s="25">
        <f>SUM(F15:F17)</f>
        <v>0</v>
      </c>
      <c r="G20" s="26">
        <f>IF(AND(F20&gt;H20,F20&lt;=I20),CONCATENATE("mehr als ",J20," Z: Mehrkosten"),L20)</f>
      </c>
      <c r="H20" s="45">
        <v>420</v>
      </c>
      <c r="I20" s="46">
        <v>650</v>
      </c>
      <c r="J20" s="47" t="str">
        <f>TEXT(H20,"0")</f>
        <v>420</v>
      </c>
      <c r="K20" s="43" t="str">
        <f>TEXT(I20,"0")</f>
        <v>650</v>
      </c>
      <c r="L20" s="44">
        <f>IF(F20&gt;I20,CONCATENATE("Zu lang, mehr als ",K20," Z!"),"")</f>
      </c>
      <c r="N20" s="42"/>
      <c r="P20" s="48">
        <v>3.2</v>
      </c>
      <c r="Q20" s="13" t="str">
        <f>B20</f>
        <v>Pos 15-17</v>
      </c>
    </row>
    <row r="21" spans="1:17" ht="27" thickBot="1" thickTop="1">
      <c r="A21" s="17">
        <v>18</v>
      </c>
      <c r="B21" s="105" t="s">
        <v>143</v>
      </c>
      <c r="C21" s="68"/>
      <c r="D21" s="64" t="s">
        <v>13</v>
      </c>
      <c r="E21" s="22" t="str">
        <f>IF(F21&lt;=H21,K21,CONCATENATE($K$16," ",K21))</f>
        <v>max. 35 Z</v>
      </c>
      <c r="F21" s="23">
        <f>LEN(C21)</f>
        <v>0</v>
      </c>
      <c r="G21" s="17"/>
      <c r="H21" s="43">
        <v>35</v>
      </c>
      <c r="I21" s="44">
        <f>IF(F21&gt;H21*1.1,"zu lang!","")</f>
      </c>
      <c r="J21" s="43" t="str">
        <f t="shared" si="0"/>
        <v>35</v>
      </c>
      <c r="K21" s="43" t="str">
        <f>CONCATENATE("max. ",H21," Z")</f>
        <v>max. 35 Z</v>
      </c>
      <c r="L21" s="43"/>
      <c r="N21" s="42"/>
      <c r="P21" s="43"/>
      <c r="Q21" s="13" t="str">
        <f aca="true" t="shared" si="1" ref="Q21:Q31">B21</f>
        <v>Text für Verweis in der Hauptanzeige</v>
      </c>
    </row>
    <row r="22" spans="1:18" ht="14.25" thickBot="1" thickTop="1">
      <c r="A22" s="17">
        <v>19</v>
      </c>
      <c r="B22" t="s">
        <v>85</v>
      </c>
      <c r="C22" s="3" t="s">
        <v>124</v>
      </c>
      <c r="D22" s="17" t="s">
        <v>21</v>
      </c>
      <c r="E22" s="22" t="str">
        <f>IF(F22&lt;=H22,K22,CONCATENATE($K$16," ",K22))</f>
        <v>max. 35 Z</v>
      </c>
      <c r="F22" s="23">
        <f>LEN(C22)</f>
        <v>1</v>
      </c>
      <c r="G22" s="26"/>
      <c r="H22" s="17">
        <v>35</v>
      </c>
      <c r="I22" s="46"/>
      <c r="J22" s="43" t="str">
        <f>TEXT(H22,"0")</f>
        <v>35</v>
      </c>
      <c r="K22" s="43" t="str">
        <f>CONCATENATE("max. ",H22," Z")</f>
        <v>max. 35 Z</v>
      </c>
      <c r="N22" s="17"/>
      <c r="O22" s="17"/>
      <c r="P22" s="22"/>
      <c r="Q22" s="13" t="str">
        <f t="shared" si="1"/>
        <v>Preise und Rabatte</v>
      </c>
      <c r="R22" s="17"/>
    </row>
    <row r="23" spans="1:17" ht="26.25" thickTop="1">
      <c r="A23" s="17">
        <v>20</v>
      </c>
      <c r="B23" t="s">
        <v>136</v>
      </c>
      <c r="C23" s="69"/>
      <c r="D23" s="64" t="s">
        <v>13</v>
      </c>
      <c r="E23" s="22" t="str">
        <f>IF(F23&lt;=H23,K23,CONCATENATE($K$16," ",K23))</f>
        <v>max. 160 Z im Feld</v>
      </c>
      <c r="F23" s="23">
        <f>LEN(C23)</f>
        <v>0</v>
      </c>
      <c r="G23" s="26">
        <f>IF(AND(F23&gt;H23,F23&lt;=I23),CONCATENATE("mehr als ",J23," Z"),L23)</f>
      </c>
      <c r="H23" s="43">
        <v>160</v>
      </c>
      <c r="I23" s="44">
        <f>IF(F23&gt;H23*1.1,"zu lang!","")</f>
      </c>
      <c r="J23" s="43" t="str">
        <f>TEXT(H23,"0")</f>
        <v>160</v>
      </c>
      <c r="K23" s="43" t="str">
        <f>CONCATENATE("max. ",H23," Z im Feld")</f>
        <v>max. 160 Z im Feld</v>
      </c>
      <c r="L23" s="44">
        <f>IF(F23&gt;I23,CONCATENATE("mehr als ",K23," Z, zu lang!"),"")</f>
      </c>
      <c r="N23" s="42"/>
      <c r="P23" s="48"/>
      <c r="Q23" s="13" t="str">
        <f t="shared" si="1"/>
        <v>Zielgruppen</v>
      </c>
    </row>
    <row r="24" spans="1:17" ht="26.25" thickBot="1">
      <c r="A24" s="17">
        <v>21</v>
      </c>
      <c r="B24" t="s">
        <v>137</v>
      </c>
      <c r="C24" s="70"/>
      <c r="D24" s="64" t="s">
        <v>13</v>
      </c>
      <c r="E24" s="22" t="str">
        <f>IF(F24&lt;=H24,K24,CONCATENATE($K$16," ",K24))</f>
        <v>max. 160 Z im Feld</v>
      </c>
      <c r="F24" s="25">
        <f>LEN(C24)</f>
        <v>0</v>
      </c>
      <c r="G24" s="26">
        <f>IF(AND(F24&gt;H24,F24&lt;=I24),CONCATENATE("mehr als ",J24," Z"),L24)</f>
      </c>
      <c r="H24" s="43">
        <v>160</v>
      </c>
      <c r="I24" s="44">
        <f>IF(F24&gt;H24*1.1,"zu lang!","")</f>
      </c>
      <c r="J24" s="43" t="str">
        <f>TEXT(H24,"0")</f>
        <v>160</v>
      </c>
      <c r="K24" s="43" t="str">
        <f>CONCATENATE("max. ",H24," Z im Feld")</f>
        <v>max. 160 Z im Feld</v>
      </c>
      <c r="L24" s="44">
        <f>IF(F24&gt;I24,CONCATENATE("mehr als ",K24," Z, zu lang!"),"")</f>
      </c>
      <c r="N24" s="42"/>
      <c r="P24" s="48"/>
      <c r="Q24" s="13" t="str">
        <f t="shared" si="1"/>
        <v>Stichwörter</v>
      </c>
    </row>
    <row r="25" spans="1:17" ht="13.5" thickTop="1">
      <c r="A25" s="17"/>
      <c r="B25" s="104" t="s">
        <v>141</v>
      </c>
      <c r="C25" s="92" t="str">
        <f>CONCATENATE(" zusammen max. ",H25,"/",I25," Z")</f>
        <v> zusammen max. 240/320 Z</v>
      </c>
      <c r="D25" s="17"/>
      <c r="E25" s="11" t="str">
        <f>IF(F25&lt;=H25,"keine",P25)</f>
        <v>keine</v>
      </c>
      <c r="F25" s="25">
        <f>SUM(F23:F24)</f>
        <v>0</v>
      </c>
      <c r="G25" s="26">
        <f>IF(AND(F25&gt;H25,F25&lt;=I25),CONCATENATE("mehr als ",J25," Z: Mehrkosten"),L25)</f>
      </c>
      <c r="H25" s="45">
        <v>240</v>
      </c>
      <c r="I25" s="46">
        <v>320</v>
      </c>
      <c r="J25" s="47" t="str">
        <f t="shared" si="0"/>
        <v>240</v>
      </c>
      <c r="K25" s="43" t="str">
        <f>TEXT(I25,"0")</f>
        <v>320</v>
      </c>
      <c r="L25" s="44">
        <f>IF(F25&gt;I25,CONCATENATE("mehr als ",K25," Z, zu lang!"),"")</f>
      </c>
      <c r="N25" s="42"/>
      <c r="P25" s="48">
        <v>3.2</v>
      </c>
      <c r="Q25" s="13" t="str">
        <f t="shared" si="1"/>
        <v>Pos 20-21</v>
      </c>
    </row>
    <row r="26" spans="1:17" ht="12.75">
      <c r="A26" s="17">
        <v>22</v>
      </c>
      <c r="B26" s="13" t="s">
        <v>80</v>
      </c>
      <c r="C26" s="5" t="s">
        <v>36</v>
      </c>
      <c r="D26" s="17" t="s">
        <v>21</v>
      </c>
      <c r="E26" s="52" t="str">
        <f>IF(C26="ja","keine","Zusatzkosten s.u.")</f>
        <v>Zusatzkosten s.u.</v>
      </c>
      <c r="F26" s="26"/>
      <c r="G26" s="26"/>
      <c r="H26" s="45"/>
      <c r="I26" s="46"/>
      <c r="J26" s="47"/>
      <c r="K26" s="43"/>
      <c r="L26" s="44"/>
      <c r="M26" s="48"/>
      <c r="N26" s="42"/>
      <c r="Q26" s="13" t="str">
        <f t="shared" si="1"/>
        <v>Logo wie Hauptanzeige</v>
      </c>
    </row>
    <row r="27" spans="1:17" ht="12.75">
      <c r="A27" s="17">
        <v>23</v>
      </c>
      <c r="B27" s="13" t="s">
        <v>84</v>
      </c>
      <c r="F27" s="26"/>
      <c r="G27" s="26"/>
      <c r="H27" s="45"/>
      <c r="I27" s="46"/>
      <c r="J27" s="47"/>
      <c r="K27" s="43"/>
      <c r="L27" s="44"/>
      <c r="M27" s="48"/>
      <c r="N27" s="42"/>
      <c r="Q27" s="13" t="str">
        <f t="shared" si="1"/>
        <v>abweichendes Logo: nein</v>
      </c>
    </row>
    <row r="28" spans="1:17" ht="15">
      <c r="A28" s="17">
        <v>24</v>
      </c>
      <c r="B28" s="13" t="s">
        <v>37</v>
      </c>
      <c r="C28" s="54" t="s">
        <v>22</v>
      </c>
      <c r="E28" s="27">
        <f>IF(C26="ja",0,IF(LEFT(C28,3)="ohn",P32,J28))</f>
        <v>5.5</v>
      </c>
      <c r="F28" s="28">
        <f>P32</f>
        <v>4</v>
      </c>
      <c r="G28" s="23" t="s">
        <v>24</v>
      </c>
      <c r="H28" s="43" t="str">
        <f>IF(P32=E28,G28,J29)</f>
        <v>kleines Logo</v>
      </c>
      <c r="I28" s="47" t="s">
        <v>25</v>
      </c>
      <c r="J28" s="49">
        <f>IF(LEFT(C28,2)="gr",P34,P33)</f>
        <v>5.5</v>
      </c>
      <c r="K28" s="43" t="s">
        <v>35</v>
      </c>
      <c r="L28" s="44"/>
      <c r="M28" s="43"/>
      <c r="N28" s="42"/>
      <c r="Q28" s="13" t="str">
        <f t="shared" si="1"/>
        <v>Logogröße: ohne/klein/groß</v>
      </c>
    </row>
    <row r="29" spans="1:17" ht="12.75">
      <c r="A29" s="17">
        <v>25</v>
      </c>
      <c r="B29" s="13" t="s">
        <v>38</v>
      </c>
      <c r="C29" s="55" t="s">
        <v>36</v>
      </c>
      <c r="E29" s="52" t="str">
        <f>IF(AND(LEFT(C29,1)="j",E28&gt;P32),J30,"keine")</f>
        <v>keine</v>
      </c>
      <c r="F29" s="28">
        <f>P33</f>
        <v>5.5</v>
      </c>
      <c r="G29" s="23" t="s">
        <v>48</v>
      </c>
      <c r="H29" s="43"/>
      <c r="I29" s="47"/>
      <c r="J29" s="50" t="str">
        <f>IF(LEFT(C28,2)="gr",G30,G29)</f>
        <v>kleines Logo</v>
      </c>
      <c r="L29" s="44"/>
      <c r="M29" s="43"/>
      <c r="N29" s="42"/>
      <c r="P29" s="48">
        <v>1.6</v>
      </c>
      <c r="Q29" s="13" t="str">
        <f t="shared" si="1"/>
        <v>Logo-Datei &gt; 2/4 Kbyte ja/nein</v>
      </c>
    </row>
    <row r="30" spans="1:17" ht="12.75">
      <c r="A30" s="17">
        <v>26</v>
      </c>
      <c r="B30" s="13" t="s">
        <v>123</v>
      </c>
      <c r="C30" s="54"/>
      <c r="E30" s="94"/>
      <c r="F30" s="28">
        <f>P34</f>
        <v>8.5</v>
      </c>
      <c r="G30" s="23" t="s">
        <v>47</v>
      </c>
      <c r="H30" s="43"/>
      <c r="I30" s="43"/>
      <c r="J30" s="43">
        <f>IF(J29="groß",P30,P29)</f>
        <v>1.6</v>
      </c>
      <c r="L30" s="44"/>
      <c r="M30" s="43"/>
      <c r="N30" s="42"/>
      <c r="P30" s="48">
        <v>2.8</v>
      </c>
      <c r="Q30" s="13" t="str">
        <f t="shared" si="1"/>
        <v>Logo-Dateiname (ggf.) (s. Anhang)</v>
      </c>
    </row>
    <row r="31" spans="1:17" ht="12.75">
      <c r="A31" s="17">
        <v>27</v>
      </c>
      <c r="B31" s="13" t="s">
        <v>29</v>
      </c>
      <c r="C31" s="5">
        <v>0</v>
      </c>
      <c r="D31" s="13" t="s">
        <v>70</v>
      </c>
      <c r="E31" s="11">
        <f>IF(C31&gt;1,"nur 1 Link!",C31*P31)</f>
        <v>0</v>
      </c>
      <c r="F31" s="13" t="s">
        <v>23</v>
      </c>
      <c r="I31" s="43"/>
      <c r="J31" s="43"/>
      <c r="K31" s="43"/>
      <c r="L31" s="43"/>
      <c r="M31" s="43"/>
      <c r="N31" s="42"/>
      <c r="P31" s="51">
        <v>20</v>
      </c>
      <c r="Q31" s="13" t="str">
        <f t="shared" si="1"/>
        <v>1 weiteres externes Link - URL:</v>
      </c>
    </row>
    <row r="32" spans="1:17" ht="18">
      <c r="A32" s="87"/>
      <c r="B32" s="87"/>
      <c r="C32" s="87"/>
      <c r="D32" s="88" t="s">
        <v>139</v>
      </c>
      <c r="E32" s="30">
        <f>SUM(E8:E31)</f>
        <v>5.5</v>
      </c>
      <c r="F32" s="16" t="s">
        <v>30</v>
      </c>
      <c r="P32" s="28">
        <v>4</v>
      </c>
      <c r="Q32" s="13" t="str">
        <f>G28</f>
        <v>ohne Logo</v>
      </c>
    </row>
    <row r="33" spans="3:17" ht="18">
      <c r="C33" s="13"/>
      <c r="E33" s="29" t="s">
        <v>68</v>
      </c>
      <c r="F33" s="16" t="str">
        <f>H28</f>
        <v>kleines Logo</v>
      </c>
      <c r="P33" s="28">
        <v>5.5</v>
      </c>
      <c r="Q33" s="13" t="str">
        <f>G29</f>
        <v>kleines Logo</v>
      </c>
    </row>
    <row r="34" spans="3:17" ht="12.75">
      <c r="C34" s="13"/>
      <c r="D34" s="31" t="s">
        <v>40</v>
      </c>
      <c r="P34" s="28">
        <v>8.5</v>
      </c>
      <c r="Q34" s="13" t="str">
        <f>G30</f>
        <v>großes Logo</v>
      </c>
    </row>
    <row r="35" spans="2:4" ht="12.75">
      <c r="B35" s="13" t="s">
        <v>18</v>
      </c>
      <c r="C35" s="4" t="s">
        <v>124</v>
      </c>
      <c r="D35" s="13" t="s">
        <v>26</v>
      </c>
    </row>
    <row r="36" spans="3:5" ht="12.75">
      <c r="C36" s="4" t="s">
        <v>124</v>
      </c>
      <c r="E36" s="89" t="s">
        <v>112</v>
      </c>
    </row>
    <row r="37" spans="2:6" s="8" customFormat="1" ht="18">
      <c r="B37" s="10"/>
      <c r="D37" s="32" t="s">
        <v>55</v>
      </c>
      <c r="E37" s="95" t="s">
        <v>126</v>
      </c>
      <c r="F37" s="8" t="s">
        <v>132</v>
      </c>
    </row>
    <row r="38" spans="1:12" ht="18">
      <c r="A38" s="14"/>
      <c r="B38" s="14"/>
      <c r="C38" s="13"/>
      <c r="D38" s="29" t="s">
        <v>39</v>
      </c>
      <c r="E38" s="6">
        <v>12</v>
      </c>
      <c r="F38" s="97" t="str">
        <f>IF(E37="m",K38,L38)</f>
        <v>Monate</v>
      </c>
      <c r="G38" s="97" t="s">
        <v>127</v>
      </c>
      <c r="K38" s="96" t="s">
        <v>31</v>
      </c>
      <c r="L38" s="96" t="s">
        <v>92</v>
      </c>
    </row>
    <row r="39" spans="3:14" ht="12.75">
      <c r="C39" s="98" t="str">
        <f>IF($E$37="m",K39,L39)</f>
        <v>max. Laufzeit Monate</v>
      </c>
      <c r="D39" s="98">
        <f>IF($E$37="m",M39,N39)</f>
        <v>12</v>
      </c>
      <c r="E39" s="53">
        <f>IF(E38&gt;D39,"Maximale Laufzeit überschritten! - Ausnahmen nur auf Anfrage","")</f>
      </c>
      <c r="F39" s="41" t="s">
        <v>138</v>
      </c>
      <c r="J39" s="31" t="s">
        <v>128</v>
      </c>
      <c r="K39" s="13" t="str">
        <f aca="true" t="shared" si="2" ref="K39:L41">CONCATENATE($J39," ",K$38)</f>
        <v>max. Laufzeit Monate</v>
      </c>
      <c r="L39" s="13" t="str">
        <f t="shared" si="2"/>
        <v>max. Laufzeit Wochen</v>
      </c>
      <c r="M39" s="13">
        <v>12</v>
      </c>
      <c r="N39" s="13">
        <v>52</v>
      </c>
    </row>
    <row r="40" spans="3:14" ht="12.75">
      <c r="C40" s="98" t="str">
        <f>IF($E$37="m",K40,L40)</f>
        <v>Mindestlaufzeit Monate</v>
      </c>
      <c r="D40" s="98">
        <f>IF($E$37="m",M40,N40)</f>
        <v>2</v>
      </c>
      <c r="F40" s="41"/>
      <c r="J40" s="31" t="s">
        <v>91</v>
      </c>
      <c r="K40" s="13" t="str">
        <f t="shared" si="2"/>
        <v>Mindestlaufzeit Monate</v>
      </c>
      <c r="L40" s="13" t="str">
        <f t="shared" si="2"/>
        <v>Mindestlaufzeit Wochen</v>
      </c>
      <c r="M40" s="13">
        <v>2</v>
      </c>
      <c r="N40" s="13">
        <v>4</v>
      </c>
    </row>
    <row r="41" spans="2:12" ht="12.75">
      <c r="B41" s="14"/>
      <c r="D41" s="98" t="str">
        <f>IF($E$37="m",K41,L41)</f>
        <v>zur Mindestlaufzeit weitere Monate</v>
      </c>
      <c r="E41" s="99">
        <f>E38-D40</f>
        <v>10</v>
      </c>
      <c r="F41" s="41"/>
      <c r="J41" s="31" t="s">
        <v>130</v>
      </c>
      <c r="K41" s="13" t="str">
        <f t="shared" si="2"/>
        <v>zur Mindestlaufzeit weitere Monate</v>
      </c>
      <c r="L41" s="13" t="str">
        <f t="shared" si="2"/>
        <v>zur Mindestlaufzeit weitere Wochen</v>
      </c>
    </row>
    <row r="42" spans="3:6" ht="12.75">
      <c r="C42" s="13"/>
      <c r="D42" s="14"/>
      <c r="E42" s="13"/>
      <c r="F42" s="15"/>
    </row>
    <row r="43" spans="4:17" ht="12.75">
      <c r="D43" s="31" t="str">
        <f>CONCATENATE("weitere Laufzeit ",E41," ",F38,",  Anzeige Typ ",H28)</f>
        <v>weitere Laufzeit 10 Monate,  Anzeige Typ kleines Logo</v>
      </c>
      <c r="E43" s="15">
        <f>IF(E28&gt;0,F43*$E$41,0)</f>
        <v>2.5</v>
      </c>
      <c r="F43" s="43">
        <f>IF($P32=$E$28,P43,H43)</f>
        <v>0.25</v>
      </c>
      <c r="H43" s="43">
        <f>IF(F44&gt;0,P44,P45)</f>
        <v>0.25</v>
      </c>
      <c r="P43" s="48">
        <v>0.15</v>
      </c>
      <c r="Q43" s="13" t="str">
        <f>D43</f>
        <v>weitere Laufzeit 10 Monate,  Anzeige Typ kleines Logo</v>
      </c>
    </row>
    <row r="44" spans="3:17" ht="12.75">
      <c r="C44" s="31" t="s">
        <v>44</v>
      </c>
      <c r="D44" s="15">
        <f>IF(E20="keine",0,E20/$D$42)</f>
        <v>0</v>
      </c>
      <c r="E44" s="15">
        <f>D44*$E$41</f>
        <v>0</v>
      </c>
      <c r="F44" s="43">
        <f>IF($P33=$E$28,P44,H44)</f>
        <v>0.25</v>
      </c>
      <c r="H44" s="43"/>
      <c r="P44" s="48">
        <v>0.25</v>
      </c>
      <c r="Q44" s="13" t="str">
        <f>C44</f>
        <v>Überlänge Text</v>
      </c>
    </row>
    <row r="45" spans="3:17" ht="12.75">
      <c r="C45" s="31" t="s">
        <v>69</v>
      </c>
      <c r="D45" s="15">
        <f>IF(E25="keine",0,E25/$D$42)</f>
        <v>0</v>
      </c>
      <c r="E45" s="15">
        <f>D45*$E$41</f>
        <v>0</v>
      </c>
      <c r="F45" s="43">
        <f>IF($P34=$E$28,P45,H45)</f>
        <v>0</v>
      </c>
      <c r="H45" s="43"/>
      <c r="P45" s="48">
        <v>0.6</v>
      </c>
      <c r="Q45" s="13" t="str">
        <f>C45</f>
        <v>Überlänge Zielgruppe/Stichwörter</v>
      </c>
    </row>
    <row r="46" spans="3:5" ht="12.75">
      <c r="C46" s="31" t="s">
        <v>46</v>
      </c>
      <c r="D46" s="15">
        <f>IF(E29="keine",0,E29/$D$42)</f>
        <v>0</v>
      </c>
      <c r="E46" s="15">
        <f>D46*$E$41</f>
        <v>0</v>
      </c>
    </row>
    <row r="47" spans="3:5" ht="12.75">
      <c r="C47" s="31" t="s">
        <v>51</v>
      </c>
      <c r="D47" s="15">
        <f>IF(E31=0,0,E31/$D$42)</f>
        <v>0</v>
      </c>
      <c r="E47" s="15">
        <f>D47*$E$41</f>
        <v>0</v>
      </c>
    </row>
    <row r="48" spans="3:6" ht="12.75">
      <c r="C48" s="13"/>
      <c r="F48" s="15"/>
    </row>
    <row r="49" spans="3:6" ht="63.75">
      <c r="C49" s="103" t="s">
        <v>131</v>
      </c>
      <c r="D49" s="14"/>
      <c r="E49" s="13"/>
      <c r="F49" s="15"/>
    </row>
    <row r="50" spans="3:6" ht="18">
      <c r="C50" s="13"/>
      <c r="D50" s="29" t="str">
        <f>CONCATENATE("Anzeigenpreis ",E38," ",F38," mit Mehrkosten, o. MWSt")</f>
        <v>Anzeigenpreis 12 Monate mit Mehrkosten, o. MWSt</v>
      </c>
      <c r="E50" s="35">
        <f>SUM(E43:E48,E32)</f>
        <v>8</v>
      </c>
      <c r="F50" s="35" t="str">
        <f>F32</f>
        <v>EUR</v>
      </c>
    </row>
    <row r="51" spans="5:6" ht="12.75">
      <c r="E51" s="102"/>
      <c r="F51" s="15"/>
    </row>
    <row r="52" spans="3:6" ht="15.75">
      <c r="C52" s="13"/>
      <c r="D52" s="36" t="s">
        <v>86</v>
      </c>
      <c r="E52" s="100">
        <v>0</v>
      </c>
      <c r="F52" s="37"/>
    </row>
    <row r="53" spans="3:5" ht="15.75">
      <c r="C53" s="13"/>
      <c r="D53" s="36" t="s">
        <v>129</v>
      </c>
      <c r="E53" s="101"/>
    </row>
    <row r="54" spans="3:6" ht="18">
      <c r="C54" s="13"/>
      <c r="D54" s="36" t="s">
        <v>54</v>
      </c>
      <c r="E54" s="38">
        <f>E50*(1-E52)*(1-E53)</f>
        <v>8</v>
      </c>
      <c r="F54" s="38" t="s">
        <v>30</v>
      </c>
    </row>
    <row r="55" spans="3:6" ht="12.75">
      <c r="C55" s="13"/>
      <c r="D55" s="39">
        <v>0.16</v>
      </c>
      <c r="E55" s="15">
        <f>ROUND(E54*D55,2)</f>
        <v>1.28</v>
      </c>
      <c r="F55" s="13" t="s">
        <v>52</v>
      </c>
    </row>
    <row r="56" spans="3:6" ht="18">
      <c r="C56" s="13"/>
      <c r="D56" s="36" t="s">
        <v>53</v>
      </c>
      <c r="E56" s="35">
        <f>E54+E55</f>
        <v>9.28</v>
      </c>
      <c r="F56" s="35" t="s">
        <v>30</v>
      </c>
    </row>
    <row r="57" spans="4:5" ht="12.75">
      <c r="D57" s="15"/>
      <c r="E57" s="13"/>
    </row>
    <row r="58" spans="4:5" ht="12.75">
      <c r="D58" s="15"/>
      <c r="E58" s="13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FH Ludwigsburg</cp:lastModifiedBy>
  <dcterms:created xsi:type="dcterms:W3CDTF">2002-06-19T09:32:51Z</dcterms:created>
  <dcterms:modified xsi:type="dcterms:W3CDTF">2005-11-14T15:28:00Z</dcterms:modified>
  <cp:category/>
  <cp:version/>
  <cp:contentType/>
  <cp:contentStatus/>
</cp:coreProperties>
</file>